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D028549\Documents\My Projects\PORT v2 import\Content\APPENDICES\DOCUMENT MATRIX\INTERNAL FORMS CHECKLISTS\ESTABLISHMENT\"/>
    </mc:Choice>
  </mc:AlternateContent>
  <xr:revisionPtr revIDLastSave="0" documentId="8_{B88683DA-CA1D-489D-9A99-CE26BAFEC473}" xr6:coauthVersionLast="47" xr6:coauthVersionMax="47" xr10:uidLastSave="{00000000-0000-0000-0000-000000000000}"/>
  <workbookProtection workbookAlgorithmName="SHA-512" workbookHashValue="6XAV62bWcR3YF2AH9T7rNXl0lU/Wxa8exT5hDx3ByFtuMSB1NzI9gSWB8BjJCwwb22+Uv0sP2ngCZBkvfXX68g==" workbookSaltValue="MSs70FzxgdZIqLJkYhD2EA==" workbookSpinCount="100000" lockStructure="1"/>
  <bookViews>
    <workbookView xWindow="-28920" yWindow="-120" windowWidth="29040" windowHeight="15840" tabRatio="881" xr2:uid="{00000000-000D-0000-FFFF-FFFF00000000}"/>
  </bookViews>
  <sheets>
    <sheet name="Worksheet" sheetId="1" r:id="rId1"/>
    <sheet name="AppendixA" sheetId="16" r:id="rId2"/>
    <sheet name="ChildSupportOrder" sheetId="7" r:id="rId3"/>
    <sheet name="Paternity Judgment &amp; Order" sheetId="10" r:id="rId4"/>
    <sheet name="IWO" sheetId="13" r:id="rId5"/>
    <sheet name="Schedule" sheetId="14" r:id="rId6"/>
    <sheet name="Parenting Time" sheetId="3" r:id="rId7"/>
    <sheet name="2011 Schedule" sheetId="2" state="hidden" r:id="rId8"/>
    <sheet name="County" sheetId="12" state="hidden" r:id="rId9"/>
    <sheet name="DefinedNames" sheetId="17" state="hidden" r:id="rId10"/>
    <sheet name="Order of Assignment" sheetId="6" state="hidden" r:id="rId11"/>
    <sheet name="Paragraphs" sheetId="11" state="hidden" r:id="rId12"/>
    <sheet name="PTD" sheetId="5" state="hidden" r:id="rId13"/>
    <sheet name="Tax" sheetId="8" state="hidden" r:id="rId14"/>
    <sheet name="TaxAB" sheetId="15" state="hidden" r:id="rId15"/>
  </sheets>
  <definedNames>
    <definedName name="AdjustedChildSupportIncomeA">DefinedNames!$B$18</definedName>
    <definedName name="AdjustedChildSupportIncomeB">DefinedNames!$B$19</definedName>
    <definedName name="AppAAlimony">Worksheet!$E$192</definedName>
    <definedName name="AppAAttributed">Worksheet!$E$188</definedName>
    <definedName name="AppACAGI">Worksheet!$E$198</definedName>
    <definedName name="AppACAGIShare">Worksheet!$E$210</definedName>
    <definedName name="AppAChildCare">Worksheet!$E$204</definedName>
    <definedName name="AppAEducation">Worksheet!$E$206</definedName>
    <definedName name="AppAExtraordinary">Worksheet!$E$208</definedName>
    <definedName name="AppAIncome">Worksheet!$E$190</definedName>
    <definedName name="AppAMedical">Worksheet!$E$202</definedName>
    <definedName name="AppAObligation">Worksheet!$E$216</definedName>
    <definedName name="AppAOver12">Worksheet!$E$200</definedName>
    <definedName name="AppAParentingTime">Worksheet!$E$212</definedName>
    <definedName name="AppASSRT">Worksheet!$E$218</definedName>
    <definedName name="AppASupport">Worksheet!$E$194</definedName>
    <definedName name="AppASupportOther">Worksheet!$E$196</definedName>
    <definedName name="AppATotalAdjustments">Worksheet!$E$214</definedName>
    <definedName name="AppendixABody">AppendixA!$B$6</definedName>
    <definedName name="BasicChildSupportObligation">DefinedNames!$B$21</definedName>
    <definedName name="BasicChildSupportObligationAdjustmentsA">DefinedNames!$B$23</definedName>
    <definedName name="BasicChildSupportObligationAdjustmentsB">DefinedNames!$B$24</definedName>
    <definedName name="CaseNumber">DefinedNames!$B$63</definedName>
    <definedName name="ChildChildren">DefinedNames!$B$64</definedName>
    <definedName name="ChildDobExists">DefinedNames!$B$9</definedName>
    <definedName name="Children">DefinedNames!$B$10</definedName>
    <definedName name="Children12Over">DefinedNames!$B$11</definedName>
    <definedName name="Children12Under">DefinedNames!$B$12</definedName>
    <definedName name="ChildrenOtherA">DefinedNames!$B$13</definedName>
    <definedName name="ChildrenOtherB">DefinedNames!$B$14</definedName>
    <definedName name="ChildSupportIncomeA">DefinedNames!$B$16</definedName>
    <definedName name="ChildSupportIncomeB">DefinedNames!$B$17</definedName>
    <definedName name="ChildSupportObligationA">DefinedNames!$B$43</definedName>
    <definedName name="ChildSupportObligationB">DefinedNames!$B$44</definedName>
    <definedName name="CombinedAdjustedChildSupportIncome">DefinedNames!$B$20</definedName>
    <definedName name="CombinedChildSupportObligation">DefinedNames!$B$25</definedName>
    <definedName name="County">Worksheet!$L$10</definedName>
    <definedName name="CustodyAdjA">DefinedNames!$B$49</definedName>
    <definedName name="CustodyAdjB">DefinedNames!$B$50</definedName>
    <definedName name="CustodyCountA">DefinedNames!$B$47</definedName>
    <definedName name="CustodyCountB">DefinedNames!$B$48</definedName>
    <definedName name="CustomTaxDeduction">DefinedNames!$B$51</definedName>
    <definedName name="EmployerFEIN">DefinedNames!$B$65</definedName>
    <definedName name="EqualTimeA">DefinedNames!$B$52</definedName>
    <definedName name="EqualTimeB">DefinedNames!$B$53</definedName>
    <definedName name="FinalChildSupportObligationA">DefinedNames!$B$45</definedName>
    <definedName name="FinalChildSupportObligationB">DefinedNames!$B$46</definedName>
    <definedName name="IVD">DefinedNames!$B$54</definedName>
    <definedName name="MaxCAGI">DefinedNames!$B$55</definedName>
    <definedName name="MinCAGI">DefinedNames!$B$56</definedName>
    <definedName name="ObligationForOtherChildrenA">DefinedNames!$B$57</definedName>
    <definedName name="ObligationForOtherChildrenB">DefinedNames!$B$58</definedName>
    <definedName name="ObligationMax">DefinedNames!#REF!</definedName>
    <definedName name="ObligationPercentageA">DefinedNames!$B$26</definedName>
    <definedName name="ObligationPercentageB">DefinedNames!$B$27</definedName>
    <definedName name="Obligations">Schedule!$A$3:$G$588</definedName>
    <definedName name="ObligationShareA">DefinedNames!$B$28</definedName>
    <definedName name="ObligationShareB">DefinedNames!$B$29</definedName>
    <definedName name="Obligee">DefinedNames!$B$37</definedName>
    <definedName name="Obligor">DefinedNames!$B$36</definedName>
    <definedName name="ObligorACSI">DefinedNames!$B$38</definedName>
    <definedName name="ObligorName">DefinedNames!$B$67</definedName>
    <definedName name="OlderChildAdjustment">DefinedNames!$B$22</definedName>
    <definedName name="OlderChildAdjustmentRate">DefinedNames!$B$4</definedName>
    <definedName name="OrderDate">DefinedNames!$B$66</definedName>
    <definedName name="paraContested">Worksheet!$E$194</definedName>
    <definedName name="ParentingPlan">DefinedNames!$B$15</definedName>
    <definedName name="ParentingTime">DefinedNames!$B$30</definedName>
    <definedName name="ParentingTimeAdjustmentA">DefinedNames!$B$32</definedName>
    <definedName name="ParentingTimeAdjustmentB">DefinedNames!$B$33</definedName>
    <definedName name="ParentingTimePercentage">DefinedNames!$B$31</definedName>
    <definedName name="Petitioner">DefinedNames!$B$68</definedName>
    <definedName name="PetitionerCaption">DefinedNames!$B$69</definedName>
    <definedName name="PetitionerCaptionPrefix">DefinedNames!$B$70</definedName>
    <definedName name="_xlnm.Print_Area" localSheetId="1">AppendixA!$B$1:$I$6</definedName>
    <definedName name="_xlnm.Print_Area" localSheetId="2">ChildSupportOrder!$B$1:$P$133</definedName>
    <definedName name="_xlnm.Print_Area" localSheetId="4">IWO!$B$1:$X$146</definedName>
    <definedName name="_xlnm.Print_Area" localSheetId="10">'Order of Assignment'!$A$1:$I$87</definedName>
    <definedName name="_xlnm.Print_Area" localSheetId="3">'Paternity Judgment &amp; Order'!$B$1:$T$169</definedName>
    <definedName name="_xlnm.Print_Area" localSheetId="12">PTD!$1:$1048576</definedName>
    <definedName name="_xlnm.Print_Area" localSheetId="0">Worksheet!$B$35:$AA$81</definedName>
    <definedName name="_xlnm.Print_Titles" localSheetId="7">'2011 Schedule'!$2:$3</definedName>
    <definedName name="ProportionateChildSupportObligationA">DefinedNames!$B$34</definedName>
    <definedName name="ProportionateChildSupportObligationB">DefinedNames!$B$35</definedName>
    <definedName name="Ready">DefinedNames!$B$8</definedName>
    <definedName name="Respondent">DefinedNames!$B$71</definedName>
    <definedName name="SelfSupportReserve">DefinedNames!$B$39</definedName>
    <definedName name="SelfSupportReserveAdjustmentA">DefinedNames!$B$41</definedName>
    <definedName name="SelfSupportReserveAdjustmentB">DefinedNames!$B$42</definedName>
    <definedName name="SelfSupportReserveTest">DefinedNames!$B$40</definedName>
    <definedName name="Stipulation">DefinedNames!$B$59</definedName>
    <definedName name="Version">DefinedNames!$B$3</definedName>
    <definedName name="WorksheetDate">DefinedNames!$B$72</definedName>
    <definedName name="WorksheetYear">DefinedNames!$B$73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7" l="1"/>
  <c r="N33" i="7"/>
  <c r="C33" i="7"/>
  <c r="C32" i="7"/>
  <c r="L31" i="7"/>
  <c r="L169" i="10" l="1"/>
  <c r="M133" i="7"/>
  <c r="B47" i="1"/>
  <c r="B72" i="17"/>
  <c r="B92" i="1"/>
  <c r="C125" i="7"/>
  <c r="B125" i="7" s="1"/>
  <c r="H90" i="1"/>
  <c r="G89" i="1"/>
  <c r="H84" i="7"/>
  <c r="G139" i="1"/>
  <c r="H139" i="1"/>
  <c r="I141" i="1"/>
  <c r="I140" i="1"/>
  <c r="L64" i="10" l="1"/>
  <c r="B6" i="16"/>
  <c r="M1" i="1"/>
  <c r="C65" i="1"/>
  <c r="H58" i="1"/>
  <c r="H57" i="1"/>
  <c r="L35" i="1"/>
  <c r="B73" i="17" l="1"/>
  <c r="L154" i="1" s="1"/>
  <c r="S7" i="13"/>
  <c r="L101" i="7" l="1"/>
  <c r="T51" i="1"/>
  <c r="B30" i="17"/>
  <c r="M327" i="15"/>
  <c r="L327" i="15"/>
  <c r="M326" i="15"/>
  <c r="L326" i="15"/>
  <c r="M321" i="15"/>
  <c r="L321" i="15"/>
  <c r="M320" i="15"/>
  <c r="L320" i="15"/>
  <c r="M316" i="15"/>
  <c r="L316" i="15"/>
  <c r="M315" i="15"/>
  <c r="L315" i="15"/>
  <c r="M312" i="15"/>
  <c r="L312" i="15"/>
  <c r="M311" i="15"/>
  <c r="L311" i="15"/>
  <c r="M309" i="15"/>
  <c r="L309" i="15"/>
  <c r="M308" i="15"/>
  <c r="L308" i="15"/>
  <c r="M306" i="15"/>
  <c r="L306" i="15"/>
  <c r="M300" i="15"/>
  <c r="L300" i="15"/>
  <c r="M299" i="15"/>
  <c r="L299" i="15"/>
  <c r="M294" i="15"/>
  <c r="L294" i="15"/>
  <c r="M293" i="15"/>
  <c r="L293" i="15"/>
  <c r="M289" i="15"/>
  <c r="L289" i="15"/>
  <c r="M288" i="15"/>
  <c r="L288" i="15"/>
  <c r="M285" i="15"/>
  <c r="L285" i="15"/>
  <c r="M284" i="15"/>
  <c r="L284" i="15"/>
  <c r="M282" i="15"/>
  <c r="L282" i="15"/>
  <c r="M281" i="15"/>
  <c r="L281" i="15"/>
  <c r="M279" i="15"/>
  <c r="L279" i="15"/>
  <c r="M273" i="15"/>
  <c r="L273" i="15"/>
  <c r="M272" i="15"/>
  <c r="L272" i="15"/>
  <c r="M267" i="15"/>
  <c r="L267" i="15"/>
  <c r="M266" i="15"/>
  <c r="L266" i="15"/>
  <c r="M262" i="15"/>
  <c r="L262" i="15"/>
  <c r="M261" i="15"/>
  <c r="L261" i="15"/>
  <c r="M258" i="15"/>
  <c r="L258" i="15"/>
  <c r="M257" i="15"/>
  <c r="L257" i="15"/>
  <c r="M255" i="15"/>
  <c r="L255" i="15"/>
  <c r="M254" i="15"/>
  <c r="L254" i="15"/>
  <c r="M252" i="15"/>
  <c r="L252" i="15"/>
  <c r="M246" i="15"/>
  <c r="L246" i="15"/>
  <c r="M245" i="15"/>
  <c r="L245" i="15"/>
  <c r="M240" i="15"/>
  <c r="L240" i="15"/>
  <c r="M239" i="15"/>
  <c r="L239" i="15"/>
  <c r="M235" i="15"/>
  <c r="L235" i="15"/>
  <c r="M234" i="15"/>
  <c r="L234" i="15"/>
  <c r="M231" i="15"/>
  <c r="L231" i="15"/>
  <c r="M230" i="15"/>
  <c r="L230" i="15"/>
  <c r="M228" i="15"/>
  <c r="L228" i="15"/>
  <c r="M227" i="15"/>
  <c r="L227" i="15"/>
  <c r="M225" i="15"/>
  <c r="L225" i="15"/>
  <c r="M219" i="15"/>
  <c r="L219" i="15"/>
  <c r="M218" i="15"/>
  <c r="L218" i="15"/>
  <c r="M213" i="15"/>
  <c r="L213" i="15"/>
  <c r="M212" i="15"/>
  <c r="L212" i="15"/>
  <c r="M208" i="15"/>
  <c r="L208" i="15"/>
  <c r="M207" i="15"/>
  <c r="L207" i="15"/>
  <c r="M204" i="15"/>
  <c r="L204" i="15"/>
  <c r="M203" i="15"/>
  <c r="L203" i="15"/>
  <c r="M201" i="15"/>
  <c r="L201" i="15"/>
  <c r="M200" i="15"/>
  <c r="L200" i="15"/>
  <c r="M198" i="15"/>
  <c r="L198" i="15"/>
  <c r="M192" i="15"/>
  <c r="L192" i="15"/>
  <c r="M191" i="15"/>
  <c r="L191" i="15"/>
  <c r="M186" i="15"/>
  <c r="L186" i="15"/>
  <c r="M185" i="15"/>
  <c r="L185" i="15"/>
  <c r="M181" i="15"/>
  <c r="L181" i="15"/>
  <c r="M180" i="15"/>
  <c r="L180" i="15"/>
  <c r="M177" i="15"/>
  <c r="L177" i="15"/>
  <c r="M176" i="15"/>
  <c r="L176" i="15"/>
  <c r="M174" i="15"/>
  <c r="L174" i="15"/>
  <c r="M173" i="15"/>
  <c r="L173" i="15"/>
  <c r="M171" i="15"/>
  <c r="L171" i="15"/>
  <c r="M165" i="15"/>
  <c r="L165" i="15"/>
  <c r="M164" i="15"/>
  <c r="L164" i="15"/>
  <c r="M159" i="15"/>
  <c r="L159" i="15"/>
  <c r="M158" i="15"/>
  <c r="L158" i="15"/>
  <c r="M154" i="15"/>
  <c r="L154" i="15"/>
  <c r="M153" i="15"/>
  <c r="L153" i="15"/>
  <c r="M150" i="15"/>
  <c r="L150" i="15"/>
  <c r="M149" i="15"/>
  <c r="L149" i="15"/>
  <c r="M147" i="15"/>
  <c r="L147" i="15"/>
  <c r="M146" i="15"/>
  <c r="L146" i="15"/>
  <c r="M144" i="15"/>
  <c r="L144" i="15"/>
  <c r="M138" i="15"/>
  <c r="L138" i="15"/>
  <c r="M137" i="15"/>
  <c r="L137" i="15"/>
  <c r="M132" i="15"/>
  <c r="L132" i="15"/>
  <c r="M131" i="15"/>
  <c r="L131" i="15"/>
  <c r="M127" i="15"/>
  <c r="L127" i="15"/>
  <c r="M126" i="15"/>
  <c r="L126" i="15"/>
  <c r="M123" i="15"/>
  <c r="L123" i="15"/>
  <c r="M122" i="15"/>
  <c r="L122" i="15"/>
  <c r="M120" i="15"/>
  <c r="L120" i="15"/>
  <c r="M119" i="15"/>
  <c r="L119" i="15"/>
  <c r="M117" i="15"/>
  <c r="L117" i="15"/>
  <c r="M111" i="15"/>
  <c r="L111" i="15"/>
  <c r="M110" i="15"/>
  <c r="L110" i="15"/>
  <c r="M105" i="15"/>
  <c r="L105" i="15"/>
  <c r="M104" i="15"/>
  <c r="L104" i="15"/>
  <c r="M100" i="15"/>
  <c r="L100" i="15"/>
  <c r="M99" i="15"/>
  <c r="L99" i="15"/>
  <c r="M96" i="15"/>
  <c r="L96" i="15"/>
  <c r="M95" i="15"/>
  <c r="L95" i="15"/>
  <c r="M93" i="15"/>
  <c r="L93" i="15"/>
  <c r="M92" i="15"/>
  <c r="L92" i="15"/>
  <c r="M90" i="15"/>
  <c r="L90" i="15"/>
  <c r="M84" i="15"/>
  <c r="L84" i="15"/>
  <c r="M83" i="15"/>
  <c r="L83" i="15"/>
  <c r="M78" i="15"/>
  <c r="L78" i="15"/>
  <c r="M77" i="15"/>
  <c r="L77" i="15"/>
  <c r="M73" i="15"/>
  <c r="L73" i="15"/>
  <c r="M72" i="15"/>
  <c r="L72" i="15"/>
  <c r="M69" i="15"/>
  <c r="L69" i="15"/>
  <c r="M68" i="15"/>
  <c r="L68" i="15"/>
  <c r="M66" i="15"/>
  <c r="L66" i="15"/>
  <c r="M65" i="15"/>
  <c r="L65" i="15"/>
  <c r="M63" i="15"/>
  <c r="L63" i="15"/>
  <c r="M56" i="15"/>
  <c r="L56" i="15"/>
  <c r="M55" i="15"/>
  <c r="L55" i="15"/>
  <c r="M50" i="15"/>
  <c r="L50" i="15"/>
  <c r="M49" i="15"/>
  <c r="L49" i="15"/>
  <c r="M45" i="15"/>
  <c r="L45" i="15"/>
  <c r="M44" i="15"/>
  <c r="L44" i="15"/>
  <c r="M41" i="15"/>
  <c r="L41" i="15"/>
  <c r="M40" i="15"/>
  <c r="L40" i="15"/>
  <c r="M38" i="15"/>
  <c r="L38" i="15"/>
  <c r="M37" i="15"/>
  <c r="L37" i="15"/>
  <c r="M35" i="15"/>
  <c r="L35" i="15"/>
  <c r="F34" i="15"/>
  <c r="G34" i="15" s="1"/>
  <c r="H34" i="15" s="1"/>
  <c r="I34" i="15" s="1"/>
  <c r="J34" i="15" s="1"/>
  <c r="J32" i="15"/>
  <c r="I32" i="15"/>
  <c r="H32" i="15"/>
  <c r="G32" i="15"/>
  <c r="F32" i="15"/>
  <c r="J31" i="15"/>
  <c r="I31" i="15"/>
  <c r="H31" i="15"/>
  <c r="G31" i="15"/>
  <c r="F31" i="15"/>
  <c r="J30" i="15"/>
  <c r="I30" i="15"/>
  <c r="H30" i="15"/>
  <c r="G30" i="15"/>
  <c r="F30" i="15"/>
  <c r="J29" i="15"/>
  <c r="I29" i="15"/>
  <c r="H29" i="15"/>
  <c r="G29" i="15"/>
  <c r="F29" i="15"/>
  <c r="J28" i="15"/>
  <c r="I28" i="15"/>
  <c r="H28" i="15"/>
  <c r="G28" i="15"/>
  <c r="F28" i="15"/>
  <c r="J27" i="15"/>
  <c r="I27" i="15"/>
  <c r="H27" i="15"/>
  <c r="G27" i="15"/>
  <c r="F27" i="15"/>
  <c r="F26" i="15"/>
  <c r="G26" i="15" s="1"/>
  <c r="H26" i="15" s="1"/>
  <c r="I26" i="15" s="1"/>
  <c r="J26" i="15" s="1"/>
  <c r="M327" i="8"/>
  <c r="L327" i="8"/>
  <c r="M326" i="8"/>
  <c r="L326" i="8"/>
  <c r="M321" i="8"/>
  <c r="L321" i="8"/>
  <c r="M320" i="8"/>
  <c r="L320" i="8"/>
  <c r="M316" i="8"/>
  <c r="L316" i="8"/>
  <c r="M315" i="8"/>
  <c r="L315" i="8"/>
  <c r="M312" i="8"/>
  <c r="L312" i="8"/>
  <c r="M311" i="8"/>
  <c r="L311" i="8"/>
  <c r="M309" i="8"/>
  <c r="L309" i="8"/>
  <c r="M308" i="8"/>
  <c r="L308" i="8"/>
  <c r="M306" i="8"/>
  <c r="L306" i="8"/>
  <c r="M300" i="8"/>
  <c r="L300" i="8"/>
  <c r="M299" i="8"/>
  <c r="L299" i="8"/>
  <c r="M294" i="8"/>
  <c r="L294" i="8"/>
  <c r="M293" i="8"/>
  <c r="L293" i="8"/>
  <c r="M289" i="8"/>
  <c r="L289" i="8"/>
  <c r="M288" i="8"/>
  <c r="L288" i="8"/>
  <c r="M285" i="8"/>
  <c r="L285" i="8"/>
  <c r="M284" i="8"/>
  <c r="L284" i="8"/>
  <c r="M282" i="8"/>
  <c r="L282" i="8"/>
  <c r="M281" i="8"/>
  <c r="L281" i="8"/>
  <c r="M279" i="8"/>
  <c r="L279" i="8"/>
  <c r="M273" i="8"/>
  <c r="L273" i="8"/>
  <c r="M272" i="8"/>
  <c r="L272" i="8"/>
  <c r="M267" i="8"/>
  <c r="L267" i="8"/>
  <c r="M266" i="8"/>
  <c r="L266" i="8"/>
  <c r="M262" i="8"/>
  <c r="L262" i="8"/>
  <c r="M261" i="8"/>
  <c r="L261" i="8"/>
  <c r="M258" i="8"/>
  <c r="L258" i="8"/>
  <c r="M257" i="8"/>
  <c r="L257" i="8"/>
  <c r="M255" i="8"/>
  <c r="L255" i="8"/>
  <c r="M254" i="8"/>
  <c r="L254" i="8"/>
  <c r="M252" i="8"/>
  <c r="L252" i="8"/>
  <c r="M246" i="8"/>
  <c r="L246" i="8"/>
  <c r="M245" i="8"/>
  <c r="L245" i="8"/>
  <c r="M240" i="8"/>
  <c r="L240" i="8"/>
  <c r="M239" i="8"/>
  <c r="L239" i="8"/>
  <c r="M235" i="8"/>
  <c r="L235" i="8"/>
  <c r="M234" i="8"/>
  <c r="L234" i="8"/>
  <c r="M231" i="8"/>
  <c r="L231" i="8"/>
  <c r="M230" i="8"/>
  <c r="L230" i="8"/>
  <c r="M228" i="8"/>
  <c r="L228" i="8"/>
  <c r="M227" i="8"/>
  <c r="L227" i="8"/>
  <c r="M225" i="8"/>
  <c r="L225" i="8"/>
  <c r="M219" i="8"/>
  <c r="L219" i="8"/>
  <c r="M218" i="8"/>
  <c r="L218" i="8"/>
  <c r="M213" i="8"/>
  <c r="L213" i="8"/>
  <c r="M212" i="8"/>
  <c r="L212" i="8"/>
  <c r="M208" i="8"/>
  <c r="L208" i="8"/>
  <c r="M207" i="8"/>
  <c r="L207" i="8"/>
  <c r="M204" i="8"/>
  <c r="L204" i="8"/>
  <c r="M203" i="8"/>
  <c r="L203" i="8"/>
  <c r="M201" i="8"/>
  <c r="L201" i="8"/>
  <c r="M200" i="8"/>
  <c r="L200" i="8"/>
  <c r="M198" i="8"/>
  <c r="L198" i="8"/>
  <c r="M192" i="8"/>
  <c r="L192" i="8"/>
  <c r="M191" i="8"/>
  <c r="L191" i="8"/>
  <c r="M186" i="8"/>
  <c r="L186" i="8"/>
  <c r="M185" i="8"/>
  <c r="L185" i="8"/>
  <c r="M181" i="8"/>
  <c r="L181" i="8"/>
  <c r="M180" i="8"/>
  <c r="L180" i="8"/>
  <c r="M177" i="8"/>
  <c r="L177" i="8"/>
  <c r="M176" i="8"/>
  <c r="L176" i="8"/>
  <c r="M174" i="8"/>
  <c r="L174" i="8"/>
  <c r="M173" i="8"/>
  <c r="L173" i="8"/>
  <c r="M171" i="8"/>
  <c r="L171" i="8"/>
  <c r="M165" i="8"/>
  <c r="L165" i="8"/>
  <c r="M164" i="8"/>
  <c r="L164" i="8"/>
  <c r="M159" i="8"/>
  <c r="L159" i="8"/>
  <c r="M158" i="8"/>
  <c r="L158" i="8"/>
  <c r="M154" i="8"/>
  <c r="L154" i="8"/>
  <c r="M153" i="8"/>
  <c r="L153" i="8"/>
  <c r="M150" i="8"/>
  <c r="L150" i="8"/>
  <c r="M149" i="8"/>
  <c r="L149" i="8"/>
  <c r="M147" i="8"/>
  <c r="L147" i="8"/>
  <c r="M146" i="8"/>
  <c r="L146" i="8"/>
  <c r="M144" i="8"/>
  <c r="L144" i="8"/>
  <c r="M138" i="8"/>
  <c r="L138" i="8"/>
  <c r="M137" i="8"/>
  <c r="L137" i="8"/>
  <c r="M132" i="8"/>
  <c r="L132" i="8"/>
  <c r="M131" i="8"/>
  <c r="L131" i="8"/>
  <c r="M127" i="8"/>
  <c r="L127" i="8"/>
  <c r="M126" i="8"/>
  <c r="L126" i="8"/>
  <c r="M123" i="8"/>
  <c r="L123" i="8"/>
  <c r="M122" i="8"/>
  <c r="L122" i="8"/>
  <c r="M120" i="8"/>
  <c r="L120" i="8"/>
  <c r="M119" i="8"/>
  <c r="L119" i="8"/>
  <c r="M117" i="8"/>
  <c r="L117" i="8"/>
  <c r="M111" i="8"/>
  <c r="L111" i="8"/>
  <c r="M110" i="8"/>
  <c r="L110" i="8"/>
  <c r="M105" i="8"/>
  <c r="L105" i="8"/>
  <c r="M104" i="8"/>
  <c r="L104" i="8"/>
  <c r="M100" i="8"/>
  <c r="L100" i="8"/>
  <c r="M99" i="8"/>
  <c r="L99" i="8"/>
  <c r="M96" i="8"/>
  <c r="L96" i="8"/>
  <c r="M95" i="8"/>
  <c r="L95" i="8"/>
  <c r="M93" i="8"/>
  <c r="L93" i="8"/>
  <c r="M92" i="8"/>
  <c r="L92" i="8"/>
  <c r="M90" i="8"/>
  <c r="L90" i="8"/>
  <c r="M84" i="8"/>
  <c r="L84" i="8"/>
  <c r="M83" i="8"/>
  <c r="L83" i="8"/>
  <c r="M78" i="8"/>
  <c r="L78" i="8"/>
  <c r="M77" i="8"/>
  <c r="L77" i="8"/>
  <c r="M73" i="8"/>
  <c r="L73" i="8"/>
  <c r="M72" i="8"/>
  <c r="L72" i="8"/>
  <c r="M69" i="8"/>
  <c r="L69" i="8"/>
  <c r="M68" i="8"/>
  <c r="L68" i="8"/>
  <c r="M66" i="8"/>
  <c r="L66" i="8"/>
  <c r="M65" i="8"/>
  <c r="L65" i="8"/>
  <c r="M63" i="8"/>
  <c r="L63" i="8"/>
  <c r="M56" i="8"/>
  <c r="L56" i="8"/>
  <c r="M55" i="8"/>
  <c r="L55" i="8"/>
  <c r="M50" i="8"/>
  <c r="L50" i="8"/>
  <c r="M49" i="8"/>
  <c r="L49" i="8"/>
  <c r="M45" i="8"/>
  <c r="L45" i="8"/>
  <c r="M44" i="8"/>
  <c r="L44" i="8"/>
  <c r="M41" i="8"/>
  <c r="L41" i="8"/>
  <c r="M40" i="8"/>
  <c r="L40" i="8"/>
  <c r="M38" i="8"/>
  <c r="L38" i="8"/>
  <c r="M37" i="8"/>
  <c r="L37" i="8"/>
  <c r="M35" i="8"/>
  <c r="L35" i="8"/>
  <c r="F34" i="8"/>
  <c r="G34" i="8" s="1"/>
  <c r="H34" i="8" s="1"/>
  <c r="I34" i="8" s="1"/>
  <c r="J34" i="8" s="1"/>
  <c r="J32" i="8"/>
  <c r="I32" i="8"/>
  <c r="H32" i="8"/>
  <c r="G32" i="8"/>
  <c r="F32" i="8"/>
  <c r="J31" i="8"/>
  <c r="I31" i="8"/>
  <c r="H31" i="8"/>
  <c r="G31" i="8"/>
  <c r="F31" i="8"/>
  <c r="J30" i="8"/>
  <c r="I30" i="8"/>
  <c r="H30" i="8"/>
  <c r="G30" i="8"/>
  <c r="F30" i="8"/>
  <c r="J29" i="8"/>
  <c r="I29" i="8"/>
  <c r="H29" i="8"/>
  <c r="G29" i="8"/>
  <c r="F29" i="8"/>
  <c r="J28" i="8"/>
  <c r="I28" i="8"/>
  <c r="H28" i="8"/>
  <c r="G28" i="8"/>
  <c r="F28" i="8"/>
  <c r="J27" i="8"/>
  <c r="I27" i="8"/>
  <c r="H27" i="8"/>
  <c r="G27" i="8"/>
  <c r="F27" i="8"/>
  <c r="F26" i="8"/>
  <c r="G26" i="8" s="1"/>
  <c r="H26" i="8" s="1"/>
  <c r="I26" i="8" s="1"/>
  <c r="J26" i="8" s="1"/>
  <c r="D29" i="5"/>
  <c r="D40" i="5" s="1"/>
  <c r="G22" i="5"/>
  <c r="G21" i="5"/>
  <c r="G20" i="5"/>
  <c r="G15" i="5"/>
  <c r="G14" i="5"/>
  <c r="G13" i="5"/>
  <c r="G12" i="5"/>
  <c r="G11" i="5"/>
  <c r="A15" i="11"/>
  <c r="H55" i="6"/>
  <c r="H53" i="6"/>
  <c r="A43" i="6"/>
  <c r="H33" i="6"/>
  <c r="C33" i="6"/>
  <c r="F25" i="6"/>
  <c r="H18" i="6"/>
  <c r="H17" i="6"/>
  <c r="I10" i="6"/>
  <c r="E5" i="6"/>
  <c r="B59" i="17"/>
  <c r="L167" i="10" s="1"/>
  <c r="B71" i="17"/>
  <c r="B68" i="17"/>
  <c r="B15" i="17"/>
  <c r="C73" i="1" s="1"/>
  <c r="B66" i="17"/>
  <c r="B54" i="17"/>
  <c r="B70" i="17" s="1"/>
  <c r="B53" i="17"/>
  <c r="B52" i="17"/>
  <c r="B65" i="17"/>
  <c r="U51" i="13" s="1"/>
  <c r="B17" i="17"/>
  <c r="B16" i="17"/>
  <c r="U51" i="1" s="1"/>
  <c r="T59" i="1" s="1"/>
  <c r="B14" i="17"/>
  <c r="B13" i="17"/>
  <c r="B10" i="17"/>
  <c r="B9" i="17"/>
  <c r="B51" i="17" s="1"/>
  <c r="D2" i="8" s="1"/>
  <c r="B63" i="17"/>
  <c r="B53" i="6" s="1"/>
  <c r="D2" i="12"/>
  <c r="C97" i="13"/>
  <c r="C92" i="13"/>
  <c r="C87" i="13"/>
  <c r="C78" i="13"/>
  <c r="J74" i="13"/>
  <c r="J73" i="13"/>
  <c r="J72" i="13"/>
  <c r="C49" i="13"/>
  <c r="U37" i="13"/>
  <c r="S37" i="13"/>
  <c r="M32" i="13"/>
  <c r="C32" i="13"/>
  <c r="M31" i="13"/>
  <c r="C31" i="13"/>
  <c r="M30" i="13"/>
  <c r="C30" i="13"/>
  <c r="M29" i="13"/>
  <c r="C29" i="13"/>
  <c r="M28" i="13"/>
  <c r="C28" i="13"/>
  <c r="M27" i="13"/>
  <c r="C27" i="13"/>
  <c r="O21" i="13"/>
  <c r="C21" i="13"/>
  <c r="O19" i="13"/>
  <c r="S108" i="13" s="1"/>
  <c r="C19" i="13"/>
  <c r="C17" i="13"/>
  <c r="K51" i="13" s="1"/>
  <c r="O15" i="13"/>
  <c r="G53" i="13" s="1"/>
  <c r="H15" i="13"/>
  <c r="C15" i="13"/>
  <c r="S13" i="13"/>
  <c r="Q10" i="13"/>
  <c r="O10" i="13"/>
  <c r="C10" i="13"/>
  <c r="D7" i="13"/>
  <c r="S5" i="13"/>
  <c r="Q3" i="13"/>
  <c r="C161" i="10"/>
  <c r="C159" i="10"/>
  <c r="C157" i="10"/>
  <c r="R156" i="10"/>
  <c r="C156" i="10"/>
  <c r="C155" i="10"/>
  <c r="J128" i="10"/>
  <c r="G115" i="10"/>
  <c r="N96" i="10"/>
  <c r="N93" i="10"/>
  <c r="R85" i="10"/>
  <c r="Q83" i="10"/>
  <c r="N83" i="10"/>
  <c r="K83" i="10"/>
  <c r="C83" i="10"/>
  <c r="G82" i="10"/>
  <c r="Q81" i="10"/>
  <c r="F81" i="10"/>
  <c r="G78" i="10"/>
  <c r="F77" i="10"/>
  <c r="C77" i="10"/>
  <c r="C76" i="10"/>
  <c r="C65" i="10"/>
  <c r="F64" i="10"/>
  <c r="F60" i="10"/>
  <c r="C60" i="10"/>
  <c r="P57" i="10"/>
  <c r="M57" i="10"/>
  <c r="J57" i="10"/>
  <c r="C57" i="10"/>
  <c r="Q56" i="10"/>
  <c r="M56" i="10"/>
  <c r="C82" i="10" s="1"/>
  <c r="K56" i="10"/>
  <c r="G56" i="10"/>
  <c r="M81" i="10" s="1"/>
  <c r="C56" i="10"/>
  <c r="R55" i="10"/>
  <c r="C81" i="10" s="1"/>
  <c r="F52" i="10"/>
  <c r="C52" i="10"/>
  <c r="C50" i="10"/>
  <c r="M47" i="10"/>
  <c r="O37" i="10"/>
  <c r="C37" i="10"/>
  <c r="C35" i="10"/>
  <c r="L34" i="10"/>
  <c r="H34" i="10"/>
  <c r="C31" i="10"/>
  <c r="L30" i="10"/>
  <c r="H30" i="10"/>
  <c r="M27" i="10"/>
  <c r="K27" i="10"/>
  <c r="G134" i="10" s="1"/>
  <c r="E27" i="10"/>
  <c r="M26" i="10"/>
  <c r="K26" i="10"/>
  <c r="E26" i="10"/>
  <c r="M25" i="10"/>
  <c r="K25" i="10"/>
  <c r="G132" i="10" s="1"/>
  <c r="E25" i="10"/>
  <c r="M24" i="10"/>
  <c r="K24" i="10"/>
  <c r="G131" i="10" s="1"/>
  <c r="E24" i="10"/>
  <c r="M23" i="10"/>
  <c r="K23" i="10"/>
  <c r="G130" i="10" s="1"/>
  <c r="E23" i="10"/>
  <c r="M22" i="10"/>
  <c r="K22" i="10"/>
  <c r="E22" i="10"/>
  <c r="K21" i="10"/>
  <c r="B15" i="10"/>
  <c r="O7" i="10"/>
  <c r="K5" i="10"/>
  <c r="C124" i="7"/>
  <c r="B124" i="7" s="1"/>
  <c r="N67" i="7"/>
  <c r="N65" i="7"/>
  <c r="O59" i="7"/>
  <c r="C59" i="7"/>
  <c r="N58" i="7"/>
  <c r="M58" i="7"/>
  <c r="C58" i="7"/>
  <c r="O55" i="7"/>
  <c r="C55" i="7"/>
  <c r="O54" i="7"/>
  <c r="N54" i="7"/>
  <c r="O53" i="7"/>
  <c r="M53" i="7"/>
  <c r="L53" i="7"/>
  <c r="C53" i="7"/>
  <c r="C52" i="7"/>
  <c r="N51" i="7"/>
  <c r="C51" i="7"/>
  <c r="P50" i="7"/>
  <c r="O50" i="7"/>
  <c r="F40" i="7"/>
  <c r="C40" i="7"/>
  <c r="O37" i="7"/>
  <c r="M37" i="7"/>
  <c r="K37" i="7"/>
  <c r="C37" i="7"/>
  <c r="O36" i="7"/>
  <c r="M36" i="7"/>
  <c r="O51" i="7" s="1"/>
  <c r="L36" i="7"/>
  <c r="H36" i="7"/>
  <c r="L51" i="7" s="1"/>
  <c r="C36" i="7"/>
  <c r="P35" i="7"/>
  <c r="O35" i="7"/>
  <c r="C34" i="7"/>
  <c r="C31" i="7"/>
  <c r="M24" i="7"/>
  <c r="L24" i="7"/>
  <c r="H107" i="7" s="1"/>
  <c r="D24" i="7"/>
  <c r="M23" i="7"/>
  <c r="L23" i="7"/>
  <c r="D23" i="7"/>
  <c r="M22" i="7"/>
  <c r="L22" i="7"/>
  <c r="D22" i="7"/>
  <c r="M21" i="7"/>
  <c r="L21" i="7"/>
  <c r="H104" i="7" s="1"/>
  <c r="D21" i="7"/>
  <c r="M20" i="7"/>
  <c r="L20" i="7"/>
  <c r="H103" i="7" s="1"/>
  <c r="D20" i="7"/>
  <c r="M19" i="7"/>
  <c r="L19" i="7"/>
  <c r="D19" i="7"/>
  <c r="L18" i="7"/>
  <c r="N7" i="7"/>
  <c r="L4" i="7"/>
  <c r="B5" i="16"/>
  <c r="P308" i="1"/>
  <c r="G276" i="1"/>
  <c r="N275" i="1"/>
  <c r="J274" i="1"/>
  <c r="G272" i="1"/>
  <c r="M10" i="13" s="1"/>
  <c r="G271" i="1"/>
  <c r="R269" i="1"/>
  <c r="G267" i="1"/>
  <c r="D5" i="13" s="1"/>
  <c r="T259" i="1"/>
  <c r="H259" i="1"/>
  <c r="G254" i="1"/>
  <c r="B251" i="1"/>
  <c r="G250" i="1"/>
  <c r="A13" i="11" s="1"/>
  <c r="G249" i="1"/>
  <c r="B246" i="1" s="1"/>
  <c r="H248" i="1"/>
  <c r="H247" i="1"/>
  <c r="H246" i="1"/>
  <c r="G246" i="1"/>
  <c r="B245" i="1"/>
  <c r="G244" i="1"/>
  <c r="G240" i="1"/>
  <c r="B240" i="1"/>
  <c r="G237" i="1"/>
  <c r="G233" i="1"/>
  <c r="B233" i="1"/>
  <c r="G229" i="1"/>
  <c r="B227" i="1"/>
  <c r="G226" i="1"/>
  <c r="G223" i="1"/>
  <c r="L10" i="10" s="1"/>
  <c r="L165" i="1"/>
  <c r="O165" i="1" s="1"/>
  <c r="R165" i="1" s="1"/>
  <c r="U165" i="1" s="1"/>
  <c r="X165" i="1" s="1"/>
  <c r="I160" i="1"/>
  <c r="I171" i="1" s="1"/>
  <c r="I159" i="1"/>
  <c r="I170" i="1" s="1"/>
  <c r="I158" i="1"/>
  <c r="I157" i="1"/>
  <c r="I156" i="1"/>
  <c r="I155" i="1"/>
  <c r="K148" i="1"/>
  <c r="B140" i="1"/>
  <c r="B138" i="1"/>
  <c r="N135" i="1"/>
  <c r="M55" i="7" s="1"/>
  <c r="N131" i="1"/>
  <c r="R130" i="1"/>
  <c r="F26" i="6" s="1"/>
  <c r="N129" i="1"/>
  <c r="R127" i="1"/>
  <c r="F23" i="6" s="1"/>
  <c r="N127" i="1"/>
  <c r="N126" i="1"/>
  <c r="N125" i="1"/>
  <c r="H121" i="1"/>
  <c r="X120" i="1"/>
  <c r="T119" i="1"/>
  <c r="C86" i="10" s="1"/>
  <c r="G118" i="1"/>
  <c r="G111" i="1"/>
  <c r="T110" i="1"/>
  <c r="G105" i="1"/>
  <c r="F99" i="1"/>
  <c r="B98" i="1" s="1"/>
  <c r="G97" i="1"/>
  <c r="I49" i="10" s="1"/>
  <c r="N74" i="1"/>
  <c r="C68" i="1"/>
  <c r="H66" i="1"/>
  <c r="F63" i="1"/>
  <c r="X54" i="1"/>
  <c r="X51" i="1"/>
  <c r="F49" i="1"/>
  <c r="Z45" i="1"/>
  <c r="Z44" i="1"/>
  <c r="X44" i="1"/>
  <c r="V44" i="1"/>
  <c r="T44" i="1"/>
  <c r="R44" i="1"/>
  <c r="P44" i="1"/>
  <c r="Z42" i="1"/>
  <c r="Z43" i="1" s="1"/>
  <c r="X42" i="1"/>
  <c r="X43" i="1" s="1"/>
  <c r="V42" i="1"/>
  <c r="V43" i="1" s="1"/>
  <c r="T42" i="1"/>
  <c r="T43" i="1" s="1"/>
  <c r="R42" i="1"/>
  <c r="P42" i="1"/>
  <c r="P43" i="1" s="1"/>
  <c r="A36" i="1"/>
  <c r="M24" i="1"/>
  <c r="S24" i="1" s="1"/>
  <c r="B56" i="17" a="1"/>
  <c r="B55" i="17" a="1"/>
  <c r="D25" i="12" l="1"/>
  <c r="D27" i="12"/>
  <c r="O127" i="13" s="1"/>
  <c r="D16" i="12"/>
  <c r="D24" i="12"/>
  <c r="D26" i="12"/>
  <c r="D15" i="12"/>
  <c r="D11" i="12"/>
  <c r="D20" i="12"/>
  <c r="H61" i="13" s="1"/>
  <c r="D19" i="12"/>
  <c r="U63" i="13" s="1"/>
  <c r="D18" i="12"/>
  <c r="D30" i="12"/>
  <c r="D17" i="12"/>
  <c r="D35" i="12"/>
  <c r="R31" i="1" s="1"/>
  <c r="D23" i="12"/>
  <c r="O125" i="13" s="1"/>
  <c r="D14" i="12"/>
  <c r="D34" i="12"/>
  <c r="C42" i="13" s="1"/>
  <c r="H42" i="13" s="1"/>
  <c r="D21" i="12"/>
  <c r="D62" i="13" s="1"/>
  <c r="D33" i="12"/>
  <c r="M42" i="13" s="1"/>
  <c r="D32" i="12"/>
  <c r="D29" i="12"/>
  <c r="O129" i="13" s="1"/>
  <c r="D28" i="12"/>
  <c r="C128" i="13" s="1"/>
  <c r="D31" i="12"/>
  <c r="B2" i="7"/>
  <c r="B3" i="10"/>
  <c r="G225" i="1"/>
  <c r="Q23" i="10"/>
  <c r="I168" i="1"/>
  <c r="I169" i="1"/>
  <c r="D12" i="12"/>
  <c r="I167" i="1"/>
  <c r="K107" i="13"/>
  <c r="K79" i="13"/>
  <c r="C41" i="13"/>
  <c r="H41" i="13" s="1"/>
  <c r="C39" i="13"/>
  <c r="H39" i="13" s="1"/>
  <c r="C38" i="13"/>
  <c r="H38" i="13" s="1"/>
  <c r="C37" i="13"/>
  <c r="H37" i="13" s="1"/>
  <c r="C48" i="10"/>
  <c r="C49" i="10"/>
  <c r="A11" i="6"/>
  <c r="M129" i="7"/>
  <c r="U47" i="1"/>
  <c r="H155" i="10" s="1"/>
  <c r="B168" i="10"/>
  <c r="C138" i="13"/>
  <c r="H133" i="10"/>
  <c r="I106" i="7"/>
  <c r="D22" i="15" s="1"/>
  <c r="E22" i="15" s="1"/>
  <c r="E31" i="15" s="1"/>
  <c r="I107" i="7"/>
  <c r="D23" i="8" s="1"/>
  <c r="E23" i="8" s="1"/>
  <c r="E32" i="8" s="1"/>
  <c r="Q25" i="10"/>
  <c r="H132" i="10"/>
  <c r="H134" i="10"/>
  <c r="Q27" i="10"/>
  <c r="Q26" i="10"/>
  <c r="I105" i="7"/>
  <c r="D21" i="8" s="1"/>
  <c r="E21" i="8" s="1"/>
  <c r="E30" i="8" s="1"/>
  <c r="Q24" i="10"/>
  <c r="H131" i="10"/>
  <c r="R165" i="10"/>
  <c r="M43" i="13"/>
  <c r="C158" i="10"/>
  <c r="G109" i="13"/>
  <c r="G81" i="13"/>
  <c r="N97" i="10"/>
  <c r="G59" i="10"/>
  <c r="G85" i="10"/>
  <c r="H120" i="1"/>
  <c r="K25" i="13"/>
  <c r="I166" i="1"/>
  <c r="B152" i="10"/>
  <c r="B155" i="10" s="1"/>
  <c r="B161" i="10" s="1"/>
  <c r="B69" i="17"/>
  <c r="B38" i="1" s="1"/>
  <c r="C152" i="10"/>
  <c r="F152" i="10"/>
  <c r="C153" i="10"/>
  <c r="C154" i="10"/>
  <c r="U79" i="13"/>
  <c r="U107" i="13"/>
  <c r="B31" i="17"/>
  <c r="I102" i="7"/>
  <c r="B10" i="10"/>
  <c r="B43" i="1"/>
  <c r="B9" i="7" s="1"/>
  <c r="I238" i="1"/>
  <c r="E33" i="10" s="1"/>
  <c r="I231" i="1"/>
  <c r="E29" i="10" s="1"/>
  <c r="B129" i="7"/>
  <c r="M131" i="7"/>
  <c r="H165" i="10"/>
  <c r="R167" i="10"/>
  <c r="J129" i="7"/>
  <c r="P131" i="7"/>
  <c r="L165" i="10"/>
  <c r="B126" i="7"/>
  <c r="P129" i="7"/>
  <c r="B162" i="10"/>
  <c r="B166" i="10"/>
  <c r="E126" i="7"/>
  <c r="B130" i="7"/>
  <c r="E162" i="10"/>
  <c r="L166" i="10"/>
  <c r="O48" i="7"/>
  <c r="B127" i="7"/>
  <c r="M130" i="7"/>
  <c r="Q87" i="10"/>
  <c r="B163" i="10"/>
  <c r="B167" i="10"/>
  <c r="B128" i="7"/>
  <c r="B131" i="7"/>
  <c r="Q136" i="10"/>
  <c r="B164" i="10"/>
  <c r="H167" i="10"/>
  <c r="S37" i="1"/>
  <c r="O96" i="7"/>
  <c r="M128" i="7"/>
  <c r="J131" i="7"/>
  <c r="L164" i="10"/>
  <c r="B165" i="10"/>
  <c r="E157" i="1"/>
  <c r="E168" i="1" s="1"/>
  <c r="E160" i="1"/>
  <c r="E171" i="1" s="1"/>
  <c r="E158" i="1"/>
  <c r="C132" i="10" s="1"/>
  <c r="E156" i="1"/>
  <c r="E167" i="1" s="1"/>
  <c r="E159" i="1"/>
  <c r="E170" i="1" s="1"/>
  <c r="B150" i="1"/>
  <c r="Q21" i="10"/>
  <c r="R43" i="1"/>
  <c r="B12" i="17" s="1"/>
  <c r="I67" i="1" s="1"/>
  <c r="H130" i="10"/>
  <c r="I103" i="7"/>
  <c r="D19" i="15" s="1"/>
  <c r="E19" i="15" s="1"/>
  <c r="E28" i="15" s="1"/>
  <c r="O154" i="1"/>
  <c r="E155" i="1"/>
  <c r="C129" i="10" s="1"/>
  <c r="H129" i="10"/>
  <c r="H102" i="7"/>
  <c r="Q22" i="10"/>
  <c r="R109" i="13"/>
  <c r="N5" i="7"/>
  <c r="R53" i="13"/>
  <c r="R81" i="13"/>
  <c r="O14" i="13"/>
  <c r="O5" i="10"/>
  <c r="Q42" i="10"/>
  <c r="E13" i="8"/>
  <c r="E6" i="8"/>
  <c r="E9" i="8"/>
  <c r="E12" i="8"/>
  <c r="E5" i="8"/>
  <c r="E8" i="8"/>
  <c r="E11" i="8"/>
  <c r="E4" i="8"/>
  <c r="D11" i="8"/>
  <c r="E7" i="8"/>
  <c r="E3" i="8"/>
  <c r="E10" i="8"/>
  <c r="D3" i="8"/>
  <c r="A4" i="6"/>
  <c r="B5" i="10"/>
  <c r="B4" i="7"/>
  <c r="B37" i="1"/>
  <c r="Y51" i="1"/>
  <c r="G129" i="10"/>
  <c r="H106" i="7"/>
  <c r="S52" i="13"/>
  <c r="B64" i="17"/>
  <c r="I7" i="6"/>
  <c r="D2" i="15"/>
  <c r="H105" i="7"/>
  <c r="G133" i="10"/>
  <c r="I104" i="7"/>
  <c r="A3" i="6"/>
  <c r="B33" i="5"/>
  <c r="S80" i="13"/>
  <c r="M62" i="7"/>
  <c r="C78" i="10"/>
  <c r="B56" i="17"/>
  <c r="B55" i="17"/>
  <c r="F39" i="5"/>
  <c r="D41" i="5"/>
  <c r="A45" i="6"/>
  <c r="M59" i="7"/>
  <c r="M45" i="7"/>
  <c r="B132" i="7"/>
  <c r="N98" i="10" l="1"/>
  <c r="R131" i="1"/>
  <c r="F27" i="6" s="1"/>
  <c r="C139" i="10"/>
  <c r="H14" i="13"/>
  <c r="C35" i="13"/>
  <c r="C130" i="13"/>
  <c r="C55" i="13"/>
  <c r="A14" i="11"/>
  <c r="A16" i="11" s="1"/>
  <c r="A17" i="11" s="1"/>
  <c r="H40" i="10" s="1"/>
  <c r="G37" i="10"/>
  <c r="D5" i="8"/>
  <c r="F125" i="10" s="1"/>
  <c r="C38" i="10"/>
  <c r="D5" i="15"/>
  <c r="B61" i="1"/>
  <c r="C85" i="7"/>
  <c r="C17" i="7"/>
  <c r="C116" i="10"/>
  <c r="H158" i="10"/>
  <c r="G67" i="10"/>
  <c r="H251" i="1"/>
  <c r="C20" i="10"/>
  <c r="J67" i="1"/>
  <c r="C109" i="7"/>
  <c r="D18" i="15"/>
  <c r="E18" i="15" s="1"/>
  <c r="E27" i="15" s="1"/>
  <c r="M101" i="7"/>
  <c r="K29" i="10"/>
  <c r="K33" i="10" s="1"/>
  <c r="D21" i="15"/>
  <c r="E21" i="15" s="1"/>
  <c r="E30" i="15" s="1"/>
  <c r="D22" i="8"/>
  <c r="E22" i="8" s="1"/>
  <c r="E31" i="8" s="1"/>
  <c r="D23" i="15"/>
  <c r="E23" i="15" s="1"/>
  <c r="E32" i="15" s="1"/>
  <c r="B6" i="10"/>
  <c r="B5" i="7"/>
  <c r="A7" i="6"/>
  <c r="D18" i="8"/>
  <c r="F17" i="8" s="1"/>
  <c r="C134" i="10"/>
  <c r="C130" i="10"/>
  <c r="B11" i="17"/>
  <c r="AA47" i="1" s="1"/>
  <c r="D19" i="8"/>
  <c r="E19" i="8" s="1"/>
  <c r="E28" i="8" s="1"/>
  <c r="C133" i="10"/>
  <c r="E169" i="1"/>
  <c r="C131" i="10"/>
  <c r="E166" i="1"/>
  <c r="C106" i="7"/>
  <c r="A22" i="8" s="1"/>
  <c r="A31" i="8" s="1"/>
  <c r="C103" i="7"/>
  <c r="A19" i="8" s="1"/>
  <c r="A28" i="8" s="1"/>
  <c r="H127" i="10"/>
  <c r="B34" i="5"/>
  <c r="B35" i="5" s="1"/>
  <c r="B36" i="5" s="1"/>
  <c r="B37" i="5" s="1"/>
  <c r="B38" i="5" s="1"/>
  <c r="B39" i="5" s="1"/>
  <c r="B40" i="5" s="1"/>
  <c r="B41" i="5" s="1"/>
  <c r="B42" i="5" s="1"/>
  <c r="B43" i="5" s="1"/>
  <c r="B44" i="5" s="1"/>
  <c r="B45" i="5" s="1"/>
  <c r="B46" i="5" s="1"/>
  <c r="B47" i="5" s="1"/>
  <c r="B48" i="5" s="1"/>
  <c r="B49" i="5" s="1"/>
  <c r="B50" i="5" s="1"/>
  <c r="B51" i="5" s="1"/>
  <c r="B52" i="5" s="1"/>
  <c r="L128" i="10"/>
  <c r="C102" i="7"/>
  <c r="I100" i="7"/>
  <c r="C126" i="13"/>
  <c r="C105" i="7"/>
  <c r="E8" i="15"/>
  <c r="E11" i="15"/>
  <c r="E4" i="15"/>
  <c r="D11" i="15"/>
  <c r="E7" i="15"/>
  <c r="E3" i="15"/>
  <c r="E10" i="15"/>
  <c r="D3" i="15"/>
  <c r="E13" i="15"/>
  <c r="E6" i="15"/>
  <c r="E9" i="15"/>
  <c r="E12" i="15"/>
  <c r="E5" i="15"/>
  <c r="V60" i="1"/>
  <c r="X59" i="1"/>
  <c r="C107" i="7"/>
  <c r="D20" i="15"/>
  <c r="E20" i="15" s="1"/>
  <c r="E29" i="15" s="1"/>
  <c r="C104" i="7"/>
  <c r="D20" i="8"/>
  <c r="E20" i="8" s="1"/>
  <c r="E29" i="8" s="1"/>
  <c r="E14" i="8"/>
  <c r="D42" i="5"/>
  <c r="D43" i="5" s="1"/>
  <c r="D44" i="5" s="1"/>
  <c r="D45" i="5" s="1"/>
  <c r="D46" i="5" s="1"/>
  <c r="D47" i="5" s="1"/>
  <c r="D48" i="5" s="1"/>
  <c r="D49" i="5" s="1"/>
  <c r="D50" i="5" s="1"/>
  <c r="D51" i="5" s="1"/>
  <c r="D52" i="5" s="1"/>
  <c r="F40" i="5"/>
  <c r="F41" i="5" s="1"/>
  <c r="F42" i="5" s="1"/>
  <c r="F43" i="5" s="1"/>
  <c r="F44" i="5" s="1"/>
  <c r="F45" i="5" s="1"/>
  <c r="F46" i="5" s="1"/>
  <c r="F47" i="5" s="1"/>
  <c r="F48" i="5" s="1"/>
  <c r="F49" i="5" s="1"/>
  <c r="F50" i="5" s="1"/>
  <c r="F51" i="5" s="1"/>
  <c r="B49" i="17"/>
  <c r="B58" i="17"/>
  <c r="Y58" i="1" s="1"/>
  <c r="B19" i="17" s="1"/>
  <c r="Y59" i="1" s="1"/>
  <c r="B57" i="17"/>
  <c r="U57" i="1" s="1"/>
  <c r="B18" i="17" s="1"/>
  <c r="B50" i="17"/>
  <c r="U20" i="1" l="1"/>
  <c r="N68" i="7"/>
  <c r="G98" i="7"/>
  <c r="H13" i="13"/>
  <c r="A18" i="11"/>
  <c r="C41" i="10" s="1"/>
  <c r="A20" i="11"/>
  <c r="C70" i="10" s="1"/>
  <c r="A19" i="11"/>
  <c r="H69" i="10" s="1"/>
  <c r="F17" i="15"/>
  <c r="G17" i="15" s="1"/>
  <c r="U23" i="1"/>
  <c r="U22" i="1"/>
  <c r="U21" i="1"/>
  <c r="E18" i="8"/>
  <c r="E27" i="8" s="1"/>
  <c r="G64" i="1"/>
  <c r="H64" i="1" s="1"/>
  <c r="U18" i="1"/>
  <c r="A22" i="15"/>
  <c r="A31" i="15" s="1"/>
  <c r="B20" i="17"/>
  <c r="U59" i="1"/>
  <c r="T45" i="1"/>
  <c r="Z46" i="1" s="1"/>
  <c r="G17" i="8"/>
  <c r="U19" i="1"/>
  <c r="A19" i="15"/>
  <c r="A28" i="15" s="1"/>
  <c r="E14" i="15"/>
  <c r="A20" i="15"/>
  <c r="A29" i="15" s="1"/>
  <c r="A20" i="8"/>
  <c r="A29" i="8" s="1"/>
  <c r="A18" i="15"/>
  <c r="A27" i="15" s="1"/>
  <c r="A18" i="8"/>
  <c r="A27" i="8" s="1"/>
  <c r="A23" i="15"/>
  <c r="A32" i="15" s="1"/>
  <c r="A23" i="8"/>
  <c r="A32" i="8" s="1"/>
  <c r="A21" i="15"/>
  <c r="A30" i="15" s="1"/>
  <c r="A21" i="8"/>
  <c r="A30" i="8" s="1"/>
  <c r="U24" i="1" l="1"/>
  <c r="C24" i="5"/>
  <c r="D24" i="5"/>
  <c r="V46" i="1"/>
  <c r="E53" i="5" s="1"/>
  <c r="W60" i="1"/>
  <c r="B8" i="17"/>
  <c r="F53" i="5"/>
  <c r="O295" i="1"/>
  <c r="U140" i="13" s="1"/>
  <c r="G34" i="6"/>
  <c r="B26" i="17" l="1"/>
  <c r="U71" i="1" s="1"/>
  <c r="B27" i="17"/>
  <c r="Y71" i="1" s="1"/>
  <c r="B39" i="17"/>
  <c r="K79" i="1" s="1"/>
  <c r="J295" i="1"/>
  <c r="Q140" i="13" s="1"/>
  <c r="D34" i="6"/>
  <c r="B21" i="17"/>
  <c r="B24" i="17"/>
  <c r="Y76" i="1" s="1"/>
  <c r="B23" i="17"/>
  <c r="U76" i="1" s="1"/>
  <c r="D7" i="15" l="1"/>
  <c r="I145" i="1"/>
  <c r="D7" i="8"/>
  <c r="I143" i="1"/>
  <c r="W61" i="1"/>
  <c r="B22" i="17"/>
  <c r="W62" i="1" s="1"/>
  <c r="B33" i="17" l="1"/>
  <c r="B32" i="17"/>
  <c r="B25" i="17"/>
  <c r="B28" i="17" s="1"/>
  <c r="F9" i="15"/>
  <c r="F11" i="15"/>
  <c r="F12" i="15"/>
  <c r="F4" i="15"/>
  <c r="F5" i="15"/>
  <c r="F13" i="15"/>
  <c r="F6" i="15"/>
  <c r="F7" i="15"/>
  <c r="F8" i="15"/>
  <c r="F3" i="15"/>
  <c r="F10" i="15"/>
  <c r="G119" i="10"/>
  <c r="I89" i="7"/>
  <c r="N143" i="1"/>
  <c r="V61" i="1"/>
  <c r="V70" i="1"/>
  <c r="F5" i="8"/>
  <c r="F6" i="8"/>
  <c r="F8" i="8"/>
  <c r="F11" i="8"/>
  <c r="F4" i="8"/>
  <c r="F13" i="8"/>
  <c r="F7" i="8"/>
  <c r="F3" i="8"/>
  <c r="F9" i="8"/>
  <c r="F10" i="8"/>
  <c r="F12" i="8"/>
  <c r="G123" i="10"/>
  <c r="I93" i="7"/>
  <c r="N145" i="1"/>
  <c r="U74" i="1" l="1"/>
  <c r="B34" i="17"/>
  <c r="Y74" i="1"/>
  <c r="W70" i="1"/>
  <c r="T72" i="1" s="1"/>
  <c r="B29" i="17"/>
  <c r="B35" i="17" s="1"/>
  <c r="U72" i="1"/>
  <c r="T77" i="1" s="1"/>
  <c r="M119" i="10"/>
  <c r="N89" i="7"/>
  <c r="F14" i="8"/>
  <c r="F14" i="15"/>
  <c r="M123" i="10"/>
  <c r="N93" i="7"/>
  <c r="B36" i="17" l="1"/>
  <c r="B44" i="17" s="1"/>
  <c r="Y72" i="1"/>
  <c r="X77" i="1" s="1"/>
  <c r="Y77" i="1"/>
  <c r="X72" i="1"/>
  <c r="D9" i="15"/>
  <c r="D13" i="15" s="1"/>
  <c r="E15" i="15"/>
  <c r="J14" i="15"/>
  <c r="D9" i="8"/>
  <c r="D13" i="8" s="1"/>
  <c r="J14" i="8"/>
  <c r="E15" i="8"/>
  <c r="F44" i="7" l="1"/>
  <c r="B67" i="17"/>
  <c r="C78" i="7" s="1"/>
  <c r="F76" i="10"/>
  <c r="I57" i="7"/>
  <c r="F39" i="7"/>
  <c r="F58" i="7"/>
  <c r="G35" i="7"/>
  <c r="C54" i="7"/>
  <c r="H50" i="7"/>
  <c r="I61" i="7"/>
  <c r="C72" i="7"/>
  <c r="C110" i="7"/>
  <c r="C81" i="7"/>
  <c r="C112" i="10"/>
  <c r="C109" i="10"/>
  <c r="C113" i="10"/>
  <c r="I283" i="1"/>
  <c r="H252" i="1"/>
  <c r="I289" i="1"/>
  <c r="N101" i="7"/>
  <c r="O101" i="7"/>
  <c r="P101" i="7"/>
  <c r="L107" i="7"/>
  <c r="M107" i="7"/>
  <c r="M102" i="7"/>
  <c r="L105" i="7"/>
  <c r="L103" i="7"/>
  <c r="L106" i="7"/>
  <c r="L155" i="1"/>
  <c r="L104" i="7"/>
  <c r="L102" i="7"/>
  <c r="M105" i="7"/>
  <c r="M106" i="7"/>
  <c r="M104" i="7"/>
  <c r="M103" i="7"/>
  <c r="F23" i="8"/>
  <c r="G23" i="8"/>
  <c r="L160" i="1"/>
  <c r="O160" i="1"/>
  <c r="F23" i="15"/>
  <c r="G23" i="15"/>
  <c r="F22" i="8"/>
  <c r="G22" i="8"/>
  <c r="L159" i="1"/>
  <c r="O159" i="1"/>
  <c r="F22" i="15"/>
  <c r="G22" i="15"/>
  <c r="F21" i="8"/>
  <c r="G21" i="8"/>
  <c r="O158" i="1"/>
  <c r="L158" i="1"/>
  <c r="F21" i="15"/>
  <c r="G21" i="15"/>
  <c r="F20" i="8"/>
  <c r="G20" i="8"/>
  <c r="L157" i="1"/>
  <c r="O157" i="1"/>
  <c r="F20" i="15"/>
  <c r="G20" i="15"/>
  <c r="J134" i="10"/>
  <c r="J133" i="10"/>
  <c r="L133" i="10"/>
  <c r="J131" i="10"/>
  <c r="L134" i="10"/>
  <c r="J132" i="10"/>
  <c r="L132" i="10"/>
  <c r="L131" i="10"/>
  <c r="X154" i="1"/>
  <c r="R128" i="10"/>
  <c r="U154" i="1"/>
  <c r="R154" i="1"/>
  <c r="J17" i="8"/>
  <c r="H17" i="8"/>
  <c r="P128" i="10"/>
  <c r="N128" i="10"/>
  <c r="I17" i="8"/>
  <c r="F18" i="8"/>
  <c r="F19" i="8"/>
  <c r="G18" i="8"/>
  <c r="G19" i="8"/>
  <c r="I17" i="15"/>
  <c r="J17" i="15"/>
  <c r="H17" i="15"/>
  <c r="G19" i="15"/>
  <c r="F18" i="15"/>
  <c r="L129" i="10"/>
  <c r="J130" i="10"/>
  <c r="J129" i="10"/>
  <c r="L156" i="1"/>
  <c r="O155" i="1"/>
  <c r="G18" i="15"/>
  <c r="O156" i="1"/>
  <c r="L130" i="10"/>
  <c r="F19" i="15"/>
  <c r="N102" i="7" l="1"/>
  <c r="N105" i="7"/>
  <c r="N107" i="7"/>
  <c r="N104" i="7"/>
  <c r="N106" i="7"/>
  <c r="N103" i="7"/>
  <c r="P102" i="7"/>
  <c r="P106" i="7"/>
  <c r="P103" i="7"/>
  <c r="P107" i="7"/>
  <c r="P104" i="7"/>
  <c r="P105" i="7"/>
  <c r="O102" i="7"/>
  <c r="O103" i="7"/>
  <c r="O105" i="7"/>
  <c r="O107" i="7"/>
  <c r="O104" i="7"/>
  <c r="O106" i="7"/>
  <c r="U159" i="1"/>
  <c r="U160" i="1"/>
  <c r="H22" i="15"/>
  <c r="H23" i="15"/>
  <c r="I22" i="8"/>
  <c r="I23" i="8"/>
  <c r="J22" i="15"/>
  <c r="J23" i="15"/>
  <c r="X159" i="1"/>
  <c r="X160" i="1"/>
  <c r="I22" i="15"/>
  <c r="I23" i="15"/>
  <c r="H22" i="8"/>
  <c r="H23" i="8"/>
  <c r="J22" i="8"/>
  <c r="J23" i="8"/>
  <c r="R159" i="1"/>
  <c r="R160" i="1"/>
  <c r="H20" i="8"/>
  <c r="H21" i="8"/>
  <c r="J20" i="8"/>
  <c r="J21" i="8"/>
  <c r="R157" i="1"/>
  <c r="R158" i="1"/>
  <c r="U157" i="1"/>
  <c r="U158" i="1"/>
  <c r="H20" i="15"/>
  <c r="H21" i="15"/>
  <c r="I20" i="8"/>
  <c r="I21" i="8"/>
  <c r="J20" i="15"/>
  <c r="J21" i="15"/>
  <c r="X157" i="1"/>
  <c r="X158" i="1"/>
  <c r="I20" i="15"/>
  <c r="I21" i="15"/>
  <c r="H18" i="8"/>
  <c r="H19" i="8"/>
  <c r="J18" i="8"/>
  <c r="J19" i="8"/>
  <c r="R155" i="1"/>
  <c r="R156" i="1"/>
  <c r="U155" i="1"/>
  <c r="U156" i="1"/>
  <c r="H18" i="15"/>
  <c r="H19" i="15"/>
  <c r="I18" i="8"/>
  <c r="I19" i="8"/>
  <c r="R132" i="10"/>
  <c r="R129" i="10"/>
  <c r="R134" i="10"/>
  <c r="R130" i="10"/>
  <c r="R133" i="10"/>
  <c r="R131" i="10"/>
  <c r="J18" i="15"/>
  <c r="J19" i="15"/>
  <c r="N132" i="10"/>
  <c r="N131" i="10"/>
  <c r="N134" i="10"/>
  <c r="N133" i="10"/>
  <c r="N129" i="10"/>
  <c r="N130" i="10"/>
  <c r="X155" i="1"/>
  <c r="X156" i="1"/>
  <c r="I18" i="15"/>
  <c r="I19" i="15"/>
  <c r="P133" i="10"/>
  <c r="P131" i="10"/>
  <c r="P134" i="10"/>
  <c r="P129" i="10"/>
  <c r="P132" i="10"/>
  <c r="P130" i="10"/>
  <c r="B161" i="1" l="1"/>
  <c r="D156" i="1"/>
  <c r="B162" i="1"/>
  <c r="D155" i="1"/>
  <c r="B163" i="1" l="1"/>
  <c r="C162" i="1" s="1"/>
  <c r="D157" i="1"/>
  <c r="C161" i="1" l="1"/>
  <c r="C163" i="1" s="1"/>
  <c r="F162" i="1" l="1"/>
  <c r="F163" i="1"/>
  <c r="E161" i="1"/>
  <c r="B38" i="17" l="1"/>
  <c r="B37" i="17"/>
  <c r="B78" i="1"/>
  <c r="B81" i="1"/>
  <c r="N94" i="10"/>
  <c r="C104" i="10" s="1"/>
  <c r="Q112" i="1"/>
  <c r="U77" i="1"/>
  <c r="T80" i="1" s="1"/>
  <c r="F51" i="10" l="1"/>
  <c r="H75" i="10"/>
  <c r="G80" i="10"/>
  <c r="F55" i="10"/>
  <c r="F46" i="10"/>
  <c r="F30" i="7"/>
  <c r="H89" i="10"/>
  <c r="C103" i="10"/>
  <c r="X80" i="1"/>
  <c r="B40" i="17"/>
  <c r="R128" i="1"/>
  <c r="C40" i="13" s="1"/>
  <c r="F72" i="10"/>
  <c r="O23" i="13"/>
  <c r="H250" i="1"/>
  <c r="B18" i="6"/>
  <c r="B55" i="6" s="1"/>
  <c r="N90" i="10"/>
  <c r="O17" i="13"/>
  <c r="L73" i="10"/>
  <c r="B42" i="17" l="1"/>
  <c r="B41" i="17"/>
  <c r="B43" i="17" s="1"/>
  <c r="H40" i="13"/>
  <c r="N78" i="1"/>
  <c r="I80" i="13"/>
  <c r="I52" i="13"/>
  <c r="I108" i="13"/>
  <c r="N95" i="10"/>
  <c r="F24" i="6"/>
  <c r="N66" i="7"/>
  <c r="Q79" i="1"/>
  <c r="B45" i="17" l="1"/>
  <c r="U80" i="1" s="1"/>
  <c r="B46" i="17"/>
  <c r="Y80" i="1" s="1"/>
  <c r="U79" i="1"/>
  <c r="Y79" i="1"/>
  <c r="J47" i="10" l="1"/>
  <c r="I31" i="7"/>
  <c r="C140" i="10"/>
  <c r="H96" i="1"/>
  <c r="H102" i="1" s="1"/>
  <c r="R124" i="1" l="1"/>
  <c r="C36" i="13" s="1"/>
  <c r="H36" i="13" s="1"/>
  <c r="F49" i="10"/>
  <c r="P72" i="10" s="1"/>
  <c r="N92" i="10" s="1"/>
  <c r="N99" i="10" s="1"/>
  <c r="O44" i="7"/>
  <c r="O75" i="1"/>
  <c r="R132" i="1" l="1"/>
  <c r="R133" i="1" s="1"/>
  <c r="J43" i="13" s="1"/>
  <c r="N47" i="13" s="1"/>
  <c r="N64" i="7"/>
  <c r="N69" i="7" s="1"/>
  <c r="O61" i="7" s="1"/>
  <c r="F22" i="6"/>
  <c r="F29" i="6" s="1"/>
  <c r="R89" i="10"/>
  <c r="N100" i="10"/>
  <c r="C47" i="13" l="1"/>
  <c r="N48" i="13"/>
  <c r="C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I1" authorId="0" shapeId="0" xr:uid="{DD1C144E-6083-44E3-874F-BA6D9E6DBA5C}">
      <text>
        <r>
          <rPr>
            <b/>
            <sz val="9"/>
            <color indexed="81"/>
            <rFont val="Tahoma"/>
            <family val="2"/>
          </rPr>
          <t>Headings that display with a red triangle will reference specific sections of the Guidelines.</t>
        </r>
      </text>
    </comment>
    <comment ref="B51" authorId="0" shapeId="0" xr:uid="{10125ABD-795A-4C0B-8B7F-3FE920552861}">
      <text>
        <r>
          <rPr>
            <b/>
            <sz val="9"/>
            <color indexed="81"/>
            <rFont val="Tahoma"/>
            <family val="2"/>
          </rPr>
          <t>Section II.A of Guidelines (page 5)</t>
        </r>
      </text>
    </comment>
    <comment ref="C54" authorId="0" shapeId="0" xr:uid="{75132E0B-B43F-4331-9928-43AABD8CAA4B}">
      <text>
        <r>
          <rPr>
            <b/>
            <sz val="9"/>
            <color indexed="81"/>
            <rFont val="Tahoma"/>
            <family val="2"/>
          </rPr>
          <t>Section II.B.2.a and b of Guidelines
(page 9)</t>
        </r>
      </text>
    </comment>
    <comment ref="C55" authorId="0" shapeId="0" xr:uid="{6CC1F855-849D-40BA-A865-CD3EEF961B47}">
      <text>
        <r>
          <rPr>
            <b/>
            <sz val="9"/>
            <color indexed="81"/>
            <rFont val="Tahoma"/>
            <family val="2"/>
          </rPr>
          <t>Section II.B.2.c of Guidelines
(page 9)</t>
        </r>
      </text>
    </comment>
    <comment ref="C56" authorId="0" shapeId="0" xr:uid="{A2073752-44E9-449A-A744-87AE09F41950}">
      <text>
        <r>
          <rPr>
            <b/>
            <sz val="9"/>
            <color indexed="81"/>
            <rFont val="Tahoma"/>
            <family val="2"/>
          </rPr>
          <t>Section II.B.2.d and e of Guidelines
(page 9)</t>
        </r>
      </text>
    </comment>
    <comment ref="C60" authorId="0" shapeId="0" xr:uid="{36D7B21F-C6EB-4365-AF2A-B4A8E4A50781}">
      <text>
        <r>
          <rPr>
            <b/>
            <sz val="9"/>
            <color indexed="81"/>
            <rFont val="Tahoma"/>
            <family val="2"/>
          </rPr>
          <t>Sections II.C and III.A of Guidelines
(page 11)</t>
        </r>
      </text>
    </comment>
    <comment ref="H64" authorId="0" shapeId="0" xr:uid="{CDAC9A08-A19C-41E5-B52F-46E80A3B2D7B}">
      <text>
        <r>
          <rPr>
            <b/>
            <sz val="9"/>
            <color indexed="81"/>
            <rFont val="Tahoma"/>
            <family val="2"/>
          </rPr>
          <t>Section III.B.2 of Guidelines
(page 12)</t>
        </r>
      </text>
    </comment>
    <comment ref="C65" authorId="0" shapeId="0" xr:uid="{448FFD3B-1B1D-4E58-81B5-483371465264}">
      <text>
        <r>
          <rPr>
            <b/>
            <sz val="9"/>
            <color indexed="81"/>
            <rFont val="Tahoma"/>
            <family val="2"/>
          </rPr>
          <t>Section III.B.3 of Guidelines
(page 13)</t>
        </r>
      </text>
    </comment>
    <comment ref="J67" authorId="0" shapeId="0" xr:uid="{AB35487F-8963-4094-B0D7-B04F39130523}">
      <text>
        <r>
          <rPr>
            <b/>
            <sz val="9"/>
            <color indexed="81"/>
            <rFont val="Tahoma"/>
            <family val="2"/>
          </rPr>
          <t>Section III.B.4 of Guidelines
(page 14)</t>
        </r>
      </text>
    </comment>
    <comment ref="C68" authorId="0" shapeId="0" xr:uid="{95016A15-C589-4342-8691-97DC16707BEB}">
      <text>
        <r>
          <rPr>
            <b/>
            <sz val="9"/>
            <color indexed="81"/>
            <rFont val="Tahoma"/>
            <family val="2"/>
          </rPr>
          <t>Section III.B.5 of Guidelines
(page 15)</t>
        </r>
      </text>
    </comment>
    <comment ref="C69" authorId="0" shapeId="0" xr:uid="{90E798CA-0A2A-4D45-8D37-0A8D0B8E4A6F}">
      <text>
        <r>
          <rPr>
            <b/>
            <sz val="9"/>
            <color indexed="81"/>
            <rFont val="Tahoma"/>
            <family val="2"/>
          </rPr>
          <t>Section III.B.6 of Guidelines
(page 15)</t>
        </r>
      </text>
    </comment>
    <comment ref="C71" authorId="0" shapeId="0" xr:uid="{2C12FEC6-B2C0-4011-B628-94A7D8C27D61}">
      <text>
        <r>
          <rPr>
            <b/>
            <sz val="9"/>
            <color indexed="81"/>
            <rFont val="Tahoma"/>
            <family val="2"/>
          </rPr>
          <t>Section IV of Guidelines
(page 16)</t>
        </r>
      </text>
    </comment>
    <comment ref="C73" authorId="0" shapeId="0" xr:uid="{9F3C919B-3AA3-4762-A264-DAAD155D0DCA}">
      <text>
        <r>
          <rPr>
            <b/>
            <sz val="9"/>
            <color indexed="81"/>
            <rFont val="Tahoma"/>
            <charset val="1"/>
          </rPr>
          <t>Sections V.B and V.C of Guidelines
(page 16, 17)</t>
        </r>
      </text>
    </comment>
    <comment ref="C76" authorId="0" shapeId="0" xr:uid="{BAA64918-E61B-434E-B0CC-CB44156D6B03}">
      <text>
        <r>
          <rPr>
            <b/>
            <sz val="9"/>
            <color indexed="81"/>
            <rFont val="Tahoma"/>
            <family val="2"/>
          </rPr>
          <t>Section VI of Guidelines
(page 22)</t>
        </r>
      </text>
    </comment>
    <comment ref="B77" authorId="0" shapeId="0" xr:uid="{1E679CD6-F889-4C07-A97F-050A68101078}">
      <text>
        <r>
          <rPr>
            <b/>
            <sz val="9"/>
            <color indexed="81"/>
            <rFont val="Tahoma"/>
            <family val="2"/>
          </rPr>
          <t>Section VII of Guidelines
(page 22)</t>
        </r>
      </text>
    </comment>
    <comment ref="B78" authorId="0" shapeId="0" xr:uid="{61040B7C-07FE-42FC-B409-72B81B921DE1}">
      <text>
        <r>
          <rPr>
            <b/>
            <sz val="9"/>
            <color indexed="81"/>
            <rFont val="Tahoma"/>
            <family val="2"/>
          </rPr>
          <t>Section VIII of Guidelines
(page 22)</t>
        </r>
      </text>
    </comment>
    <comment ref="B181" authorId="0" shapeId="0" xr:uid="{3D65C381-11F6-48FA-BFC7-7291841799DE}">
      <text>
        <r>
          <rPr>
            <b/>
            <sz val="9"/>
            <color indexed="81"/>
            <rFont val="Tahoma"/>
            <family val="2"/>
          </rPr>
          <t>Note:</t>
        </r>
        <r>
          <rPr>
            <sz val="9"/>
            <color indexed="81"/>
            <rFont val="Tahoma"/>
            <family val="2"/>
          </rPr>
          <t xml:space="preserve"> Does not include IWO because Issuing Official could be different. Enter issuinng official for IWO in Order of Assignment section below.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<sst xmlns="http://schemas.openxmlformats.org/spreadsheetml/2006/main" count="3925" uniqueCount="961">
  <si>
    <t>View Child Support Guidelines</t>
  </si>
  <si>
    <t>(Hover for help)</t>
  </si>
  <si>
    <t>Instructions:  Start at top (Ctrl + Home) &amp; use "Tab" key to navigate to information boxes.</t>
  </si>
  <si>
    <t>Blue</t>
  </si>
  <si>
    <r>
      <t xml:space="preserve">  </t>
    </r>
    <r>
      <rPr>
        <b/>
        <sz val="10"/>
        <rFont val="Arial"/>
        <family val="2"/>
      </rPr>
      <t>Worksheet</t>
    </r>
    <r>
      <rPr>
        <sz val="10"/>
        <rFont val="Arial"/>
        <family val="2"/>
      </rPr>
      <t xml:space="preserve"> Only:  Complete all blue fields that apply to generate Worksheet only.</t>
    </r>
  </si>
  <si>
    <t>Yellow</t>
  </si>
  <si>
    <r>
      <t xml:space="preserve">  </t>
    </r>
    <r>
      <rPr>
        <b/>
        <sz val="10"/>
        <rFont val="Arial"/>
        <family val="2"/>
      </rPr>
      <t>Child Support Order or Paternity Judgment</t>
    </r>
    <r>
      <rPr>
        <sz val="10"/>
        <rFont val="Arial"/>
        <family val="2"/>
      </rPr>
      <t>: Complete all blue &amp; yellow fields that apply.</t>
    </r>
  </si>
  <si>
    <t>Green</t>
  </si>
  <si>
    <r>
      <t xml:space="preserve">  </t>
    </r>
    <r>
      <rPr>
        <b/>
        <sz val="10"/>
        <rFont val="Arial"/>
        <family val="2"/>
      </rPr>
      <t>Order of Assignment</t>
    </r>
    <r>
      <rPr>
        <sz val="10"/>
        <rFont val="Arial"/>
        <family val="2"/>
      </rPr>
      <t>: Complete above plus all green fields that apply.</t>
    </r>
  </si>
  <si>
    <t>Judicial Officer Fill-in: (Information highlighted in Blue is required to complete Worksheet).</t>
  </si>
  <si>
    <t xml:space="preserve">Case No./Cnty:  </t>
  </si>
  <si>
    <t>/</t>
  </si>
  <si>
    <t>Maricopa</t>
  </si>
  <si>
    <r>
      <t>IVD Case (</t>
    </r>
    <r>
      <rPr>
        <b/>
        <sz val="10"/>
        <rFont val="Arial"/>
        <family val="2"/>
      </rPr>
      <t>x</t>
    </r>
    <r>
      <rPr>
        <sz val="10"/>
        <rFont val="Arial"/>
        <family val="2"/>
      </rPr>
      <t>)</t>
    </r>
  </si>
  <si>
    <t xml:space="preserve">Petitioner:  </t>
  </si>
  <si>
    <t xml:space="preserve">Respondent:  </t>
  </si>
  <si>
    <t xml:space="preserve">Children:  </t>
  </si>
  <si>
    <t>Name of Child (Last, First, Middle)</t>
  </si>
  <si>
    <t>Date of Birth</t>
  </si>
  <si>
    <t>Age</t>
  </si>
  <si>
    <t>Youngest Child's Grade</t>
  </si>
  <si>
    <t>Estimated</t>
  </si>
  <si>
    <t>Actual</t>
  </si>
  <si>
    <t>Youngest Child</t>
  </si>
  <si>
    <t>Show Date Other Than Today's Date (Optional):</t>
  </si>
  <si>
    <t>Show Alternative Past Calculation Period (Optional):</t>
  </si>
  <si>
    <t xml:space="preserve">Minimum Wage for Self Reserve Test: </t>
  </si>
  <si>
    <t>Prior to January, 2022:</t>
  </si>
  <si>
    <t>Find state's minimum wage</t>
  </si>
  <si>
    <t>Hourly Minimum Wage of Current State:</t>
  </si>
  <si>
    <t>Find Flagstaff, AZ min. wage</t>
  </si>
  <si>
    <t>Find Tucson, AZ min. wage</t>
  </si>
  <si>
    <t>Information on &amp; above this line will not print.</t>
  </si>
  <si>
    <t>Date:</t>
  </si>
  <si>
    <t>)     )     )     )     )     )     )     )     )</t>
  </si>
  <si>
    <t>NO.</t>
  </si>
  <si>
    <t>Child Support Worksheet</t>
  </si>
  <si>
    <t>Parent A / Petitioner</t>
  </si>
  <si>
    <t>(January 1, 2022 Guidelines)</t>
  </si>
  <si>
    <t xml:space="preserve">and </t>
  </si>
  <si>
    <t>DOB:</t>
  </si>
  <si>
    <t>Age:</t>
  </si>
  <si>
    <t>Parent B / Respondent</t>
  </si>
  <si>
    <t>Youngest Grade Estimated:</t>
  </si>
  <si>
    <t>Actual Grade:</t>
  </si>
  <si>
    <t>Presumptive Termination Date:</t>
  </si>
  <si>
    <t>Number of Minor Children:</t>
  </si>
  <si>
    <t>Children 12 or Over:</t>
  </si>
  <si>
    <t>Parenting Plan:</t>
  </si>
  <si>
    <t>Parent A</t>
  </si>
  <si>
    <t>Parent B</t>
  </si>
  <si>
    <t>Equal</t>
  </si>
  <si>
    <t>Monthly</t>
  </si>
  <si>
    <t>Annually</t>
  </si>
  <si>
    <t>Hourly</t>
  </si>
  <si>
    <t>Attributed</t>
  </si>
  <si>
    <t>Child Support Income:</t>
  </si>
  <si>
    <t>Parent A:</t>
  </si>
  <si>
    <t>Parent B:</t>
  </si>
  <si>
    <t>Contest</t>
  </si>
  <si>
    <t>Adjustments to Child Support Income: [Mandatory]</t>
  </si>
  <si>
    <t>Court Ordered Spousal Maintenance (Paid) / Received:</t>
  </si>
  <si>
    <t>Court Ordered Child Support of Other Relationships (Actually Paid)</t>
  </si>
  <si>
    <r>
      <t>Support of Child[ren] from Other Relationships</t>
    </r>
    <r>
      <rPr>
        <sz val="10"/>
        <rFont val="Arial"/>
        <family val="2"/>
      </rPr>
      <t>:</t>
    </r>
  </si>
  <si>
    <t>Parent A's</t>
  </si>
  <si>
    <t>Parent B's</t>
  </si>
  <si>
    <t>Adjusted Child Support Income</t>
  </si>
  <si>
    <t>Combined Adjusted Child Support Income</t>
  </si>
  <si>
    <t>Adjustments To Basic Combined Child Support Obligation:</t>
  </si>
  <si>
    <t xml:space="preserve">[Mandatory]    </t>
  </si>
  <si>
    <t xml:space="preserve">Adjustment For </t>
  </si>
  <si>
    <t>[Discretionary]</t>
  </si>
  <si>
    <t>Monthly Childcare Costs For</t>
  </si>
  <si>
    <t xml:space="preserve">    [Discretionary]</t>
  </si>
  <si>
    <t>Extraordinary (Gifted or Special Needs) Child Expenses Paid By:</t>
  </si>
  <si>
    <t>Total Child Support Obligation</t>
  </si>
  <si>
    <t>Each Parent's Proportionate Percentage of Combined Adjusted Child Support Income</t>
  </si>
  <si>
    <t>Each Parent's Proportionate Share of Total Child Support Obligation</t>
  </si>
  <si>
    <t xml:space="preserve">[Mandatory]      </t>
  </si>
  <si>
    <t>Using Parenting Time</t>
  </si>
  <si>
    <t>For</t>
  </si>
  <si>
    <t>Days At</t>
  </si>
  <si>
    <t>Total Adjustments To Child Support Obligation From Above Paid By Each Parent</t>
  </si>
  <si>
    <t>Presumptive Child Support Obligation</t>
  </si>
  <si>
    <t xml:space="preserve">Less Self Support Reserve Amount:  </t>
  </si>
  <si>
    <r>
      <t xml:space="preserve">Self Support Reserve Test </t>
    </r>
    <r>
      <rPr>
        <b/>
        <sz val="10"/>
        <rFont val="Arial"/>
        <family val="2"/>
      </rPr>
      <t>Not</t>
    </r>
    <r>
      <rPr>
        <sz val="10"/>
        <rFont val="Arial"/>
        <family val="2"/>
      </rPr>
      <t xml:space="preserve"> Applied (</t>
    </r>
    <r>
      <rPr>
        <b/>
        <sz val="10"/>
        <rFont val="Arial"/>
        <family val="2"/>
      </rPr>
      <t>X</t>
    </r>
    <r>
      <rPr>
        <sz val="10"/>
        <rFont val="Arial"/>
        <family val="2"/>
      </rPr>
      <t>):</t>
    </r>
  </si>
  <si>
    <t>Max. C.S.</t>
  </si>
  <si>
    <t>Information on &amp; below this line will not print.</t>
  </si>
  <si>
    <t>Child Support Order or Paternity Judgment</t>
  </si>
  <si>
    <t>Complete all Yellow boxes that apply to generate either a Child Support Order or Paternity Judgment.</t>
  </si>
  <si>
    <t xml:space="preserve"> Initial or Final Decree Support Order</t>
  </si>
  <si>
    <t xml:space="preserve"> Not yet a final appealable order</t>
  </si>
  <si>
    <t xml:space="preserve"> Rule 78(b) -  partially appealable order</t>
  </si>
  <si>
    <t xml:space="preserve"> Rule78(c) -  Final, appealable order</t>
  </si>
  <si>
    <t xml:space="preserve"> Post-Decree Modification Support Order</t>
  </si>
  <si>
    <t>Current Child Support:</t>
  </si>
  <si>
    <t>Round Without Deviation to:</t>
  </si>
  <si>
    <t>Deviation:</t>
  </si>
  <si>
    <t>No Deviation</t>
  </si>
  <si>
    <r>
      <t xml:space="preserve">Parties </t>
    </r>
    <r>
      <rPr>
        <b/>
        <sz val="10"/>
        <color rgb="FFFF0000"/>
        <rFont val="Arial"/>
        <family val="2"/>
      </rPr>
      <t>agree</t>
    </r>
    <r>
      <rPr>
        <b/>
        <sz val="10"/>
        <rFont val="Arial"/>
        <family val="2"/>
      </rPr>
      <t xml:space="preserve"> to Deviation and Court approves it.</t>
    </r>
  </si>
  <si>
    <r>
      <t xml:space="preserve">Parties </t>
    </r>
    <r>
      <rPr>
        <b/>
        <sz val="10"/>
        <color rgb="FFFF0000"/>
        <rFont val="Arial"/>
        <family val="2"/>
      </rPr>
      <t>do not</t>
    </r>
    <r>
      <rPr>
        <b/>
        <sz val="10"/>
        <rFont val="Arial"/>
        <family val="2"/>
      </rPr>
      <t xml:space="preserve"> agree to Deviation but Court orders it.</t>
    </r>
  </si>
  <si>
    <t>Support After Deviation:</t>
  </si>
  <si>
    <t>Support To Be Ordered:</t>
  </si>
  <si>
    <t>Child Support Arrearage Judgment (From Prior Orders):</t>
  </si>
  <si>
    <t xml:space="preserve"> No Arrearage Judgment from Prior Support Orders will be entered.</t>
  </si>
  <si>
    <t xml:space="preserve"> Total Arrearage Judgment amount of:</t>
  </si>
  <si>
    <t xml:space="preserve">For period starting on: </t>
  </si>
  <si>
    <t>and ending:</t>
  </si>
  <si>
    <t xml:space="preserve">Plus total interest of: </t>
  </si>
  <si>
    <t>calculated thru:</t>
  </si>
  <si>
    <t>Past Child Support Judgment (A.R.S. §25-320(B) &amp; (C)) or §25-809(B)):</t>
  </si>
  <si>
    <t xml:space="preserve"> No Past Support Judgment will be entered.</t>
  </si>
  <si>
    <t xml:space="preserve"> Enter Judgment for:</t>
  </si>
  <si>
    <t xml:space="preserve"> Date current petition filed until today per A.R.S. §25-320(B) or §25-809(B).</t>
  </si>
  <si>
    <t xml:space="preserve"> 3 years prior to filing to date of this Order per A.R.S. §25-320(C) or §25-809(B).</t>
  </si>
  <si>
    <t>Paternity Expenses Judgment (Actual costs of pregnancy, childbirth, genetic testing etc. per §25-809(C)):</t>
  </si>
  <si>
    <t xml:space="preserve">          (Complete only for Paternity Judgment &amp; Order if applicable--Not present in Child Support Order.)</t>
  </si>
  <si>
    <t xml:space="preserve"> None Awarded.</t>
  </si>
  <si>
    <t xml:space="preserve"> Enter Judgment For:</t>
  </si>
  <si>
    <t>Against</t>
  </si>
  <si>
    <t>Judgment</t>
  </si>
  <si>
    <t>Monthly Payment</t>
  </si>
  <si>
    <t>Monthly Payments:</t>
  </si>
  <si>
    <t xml:space="preserve"> Current Child Support:</t>
  </si>
  <si>
    <t xml:space="preserve"> Child Support Arrearage:</t>
  </si>
  <si>
    <t>Past Child Support Judgment:</t>
  </si>
  <si>
    <t xml:space="preserve"> Paternity Expenses:</t>
  </si>
  <si>
    <t xml:space="preserve"> Current Spousal Maintenance:</t>
  </si>
  <si>
    <t xml:space="preserve"> Past Due Spousal Maintenance:</t>
  </si>
  <si>
    <t xml:space="preserve"> Cash Medical Support (Current &amp; Past Due):</t>
  </si>
  <si>
    <t xml:space="preserve"> Clearinghouse Handling Fee:</t>
  </si>
  <si>
    <t xml:space="preserve">        Total Monthly Payment:</t>
  </si>
  <si>
    <t xml:space="preserve">        Total Order of Assignment Amount:</t>
  </si>
  <si>
    <t>Default: All Payments Start:</t>
  </si>
  <si>
    <t>Alternative: All Payments Start:</t>
  </si>
  <si>
    <t>Uninsured Medical:</t>
  </si>
  <si>
    <t>Transportation:</t>
  </si>
  <si>
    <t>Non-custodian Can Take Deductions:</t>
  </si>
  <si>
    <t xml:space="preserve"> Only If Payments &amp; Ordered Arrearages Paid By December 31</t>
  </si>
  <si>
    <t xml:space="preserve"> Unconditionally Without Regard To Payment History</t>
  </si>
  <si>
    <t>Tax Deductions To Be Ordered As Below or</t>
  </si>
  <si>
    <t>Customize Tax Deduction Table</t>
  </si>
  <si>
    <t>Child's Name</t>
  </si>
  <si>
    <t>Parent Entitled To Deduction For Each Calendar Year</t>
  </si>
  <si>
    <t>Deductions</t>
  </si>
  <si>
    <t>A:</t>
  </si>
  <si>
    <t>B:</t>
  </si>
  <si>
    <t>Total:</t>
  </si>
  <si>
    <t>T</t>
  </si>
  <si>
    <t>P</t>
  </si>
  <si>
    <t>Customized Tax Allocation</t>
  </si>
  <si>
    <t>Customized Allocation of Deductions By Year</t>
  </si>
  <si>
    <t>Other Findings &amp; Orders:</t>
  </si>
  <si>
    <t>Even though the court’s judgment contains orders that may impact federal taxes, these orders are not binding on the IRS.</t>
  </si>
  <si>
    <t>Stipulation and Attorney's Signature:</t>
  </si>
  <si>
    <t xml:space="preserve"> Stipulation</t>
  </si>
  <si>
    <t xml:space="preserve"> Attorneys will sign Stipulation</t>
  </si>
  <si>
    <t xml:space="preserve"> Date of Order Only If Not Today:</t>
  </si>
  <si>
    <r>
      <t xml:space="preserve">To Customize Judicial Signature on </t>
    </r>
    <r>
      <rPr>
        <i/>
        <sz val="10"/>
        <rFont val="Arial"/>
        <family val="2"/>
      </rPr>
      <t>Child Support Order</t>
    </r>
    <r>
      <rPr>
        <sz val="10"/>
        <rFont val="Arial"/>
        <family val="2"/>
      </rPr>
      <t xml:space="preserve"> and </t>
    </r>
    <r>
      <rPr>
        <i/>
        <sz val="10"/>
        <rFont val="Arial"/>
        <family val="2"/>
      </rPr>
      <t>Paternity Judgment &amp; Order</t>
    </r>
    <r>
      <rPr>
        <sz val="10"/>
        <rFont val="Arial"/>
        <family val="2"/>
      </rPr>
      <t xml:space="preserve"> makes changes here:</t>
    </r>
  </si>
  <si>
    <t>Signature Title that will be inserted if you don't customize below:</t>
  </si>
  <si>
    <t>Judicial Officer</t>
  </si>
  <si>
    <r>
      <t>Customized Name to Appear on CSO &amp; PJ&amp;O</t>
    </r>
    <r>
      <rPr>
        <b/>
        <sz val="7"/>
        <rFont val="Arial"/>
        <family val="2"/>
      </rPr>
      <t xml:space="preserve"> (E.g. "Judge John Smith")</t>
    </r>
    <r>
      <rPr>
        <b/>
        <sz val="10"/>
        <rFont val="Arial"/>
        <family val="2"/>
      </rPr>
      <t>:</t>
    </r>
  </si>
  <si>
    <t>Appendix A: Findings on Contested Support Calculation Factors</t>
  </si>
  <si>
    <t>Attributed Child Support Income</t>
  </si>
  <si>
    <t>Back to worksheet</t>
  </si>
  <si>
    <t>Child Support Income</t>
  </si>
  <si>
    <t>Court Ordered Spousal Maintenance (Paid) / Received</t>
  </si>
  <si>
    <t>Court Ordered Child Support of Other Relationships</t>
  </si>
  <si>
    <t>Support of Child[ren] from Other Relationships</t>
  </si>
  <si>
    <t>Adjustment For Children Over Age 12</t>
  </si>
  <si>
    <t>Medical and Dental Insurance Paid By</t>
  </si>
  <si>
    <t>Monthly Child Care Costs</t>
  </si>
  <si>
    <t>Extra Education Expenses Paid</t>
  </si>
  <si>
    <t>Extraordinary (Gifted or Special Needs) Child Expenses Paid By</t>
  </si>
  <si>
    <t>Each Parent's Proportionate Percentage of Income</t>
  </si>
  <si>
    <t>Parenting Time Adjustment</t>
  </si>
  <si>
    <t>Total Adjustments To Child Support Obligation</t>
  </si>
  <si>
    <t>Self Support Reserve Test For Respondent</t>
  </si>
  <si>
    <t>Paternity Judgment &amp; Order</t>
  </si>
  <si>
    <t>To complete Paternity Judgment also complete all Yellow boxes below that apply.</t>
  </si>
  <si>
    <t xml:space="preserve">  Type of Judgment:</t>
  </si>
  <si>
    <t xml:space="preserve"> Paternity Judgment &amp; Order of Support</t>
  </si>
  <si>
    <t xml:space="preserve">  (Must check one)</t>
  </si>
  <si>
    <t xml:space="preserve"> Establishment of Child Support (Post-Paternity)</t>
  </si>
  <si>
    <t xml:space="preserve">  Manner of Entry:</t>
  </si>
  <si>
    <t xml:space="preserve"> Default Hearing</t>
  </si>
  <si>
    <t xml:space="preserve"> Evidentiary Hearing</t>
  </si>
  <si>
    <t xml:space="preserve"> A.R.S. §25-502(J)</t>
  </si>
  <si>
    <t>Establishment for Parent A:</t>
  </si>
  <si>
    <t xml:space="preserve">Date of Birth: </t>
  </si>
  <si>
    <t>Add to Birth Certificate/Send to Vital Records</t>
  </si>
  <si>
    <t xml:space="preserve"> Presumed or by this Judgment &amp; Order.</t>
  </si>
  <si>
    <t xml:space="preserve"> By prior formal Court Order.</t>
  </si>
  <si>
    <t xml:space="preserve"> By Voluntary Acknowledgment filed with the Clerk per A.R.S. §25-812(C).</t>
  </si>
  <si>
    <t xml:space="preserve"> By Voluntary Acknowledgment filed with DES per A.R.S. §25-812(D).</t>
  </si>
  <si>
    <t>Establishment for Parent B:</t>
  </si>
  <si>
    <t>Use Gender Neutral Terms</t>
  </si>
  <si>
    <t xml:space="preserve">  Custody Order:</t>
  </si>
  <si>
    <t xml:space="preserve"> </t>
  </si>
  <si>
    <t xml:space="preserve"> Award joint legal decision-making to both parents per attached Parenting Plan.</t>
  </si>
  <si>
    <r>
      <rPr>
        <b/>
        <u/>
        <sz val="10"/>
        <rFont val="Arial"/>
        <family val="2"/>
      </rPr>
      <t>IV-D Cases Only</t>
    </r>
    <r>
      <rPr>
        <b/>
        <sz val="10"/>
        <rFont val="Arial"/>
        <family val="2"/>
      </rPr>
      <t>:</t>
    </r>
  </si>
  <si>
    <t>Cash Medical Support Order (if desired when no insurance coverage available):</t>
  </si>
  <si>
    <t xml:space="preserve"> Medical Support Order to be issued against noncustodian:</t>
  </si>
  <si>
    <t>per month, payable on the 1st day of the month:</t>
  </si>
  <si>
    <t xml:space="preserve"> After 90 days pursuant to A.R.S. § 25-320(L):</t>
  </si>
  <si>
    <t xml:space="preserve"> Commencing on alternate date starting:</t>
  </si>
  <si>
    <t>Past-Due Cash Medical Support (Any Order must be customized in "Other Findings &amp; Orders" above):</t>
  </si>
  <si>
    <t>Past-Due Cash Medical Support Monthly Payment:</t>
  </si>
  <si>
    <t>Order of Assignment</t>
  </si>
  <si>
    <t>To complete Federal Income Withholding Order (IWO) complete all Green boxes below.</t>
  </si>
  <si>
    <t>Type of IWO:</t>
  </si>
  <si>
    <r>
      <t xml:space="preserve"> </t>
    </r>
    <r>
      <rPr>
        <b/>
        <sz val="10"/>
        <rFont val="Arial"/>
        <family val="2"/>
      </rPr>
      <t>Original IWO</t>
    </r>
  </si>
  <si>
    <t xml:space="preserve"> Amended IWO</t>
  </si>
  <si>
    <t xml:space="preserve"> One-Time Order of Lump Sum Payment</t>
  </si>
  <si>
    <t xml:space="preserve"> Termination of IWO</t>
  </si>
  <si>
    <t>Issued By:</t>
  </si>
  <si>
    <r>
      <t xml:space="preserve"> </t>
    </r>
    <r>
      <rPr>
        <b/>
        <sz val="10"/>
        <rFont val="Arial"/>
        <family val="2"/>
      </rPr>
      <t>Court</t>
    </r>
  </si>
  <si>
    <t xml:space="preserve"> Child Support Enforcement Agency (CSE)</t>
  </si>
  <si>
    <t xml:space="preserve"> Attorney:</t>
  </si>
  <si>
    <t xml:space="preserve"> Private Individual/Entity</t>
  </si>
  <si>
    <t>Obligor's Employer:</t>
  </si>
  <si>
    <t>Employer Name:</t>
  </si>
  <si>
    <t>Employer Address:</t>
  </si>
  <si>
    <t>City, State zip:</t>
  </si>
  <si>
    <t>Employer's FEIN (if known):</t>
  </si>
  <si>
    <t>Obligor's Name:</t>
  </si>
  <si>
    <t>Last, First, Middle</t>
  </si>
  <si>
    <t>Social Security No.:</t>
  </si>
  <si>
    <t>Date of Birth:</t>
  </si>
  <si>
    <t>Obligor/Employee Works Outside of Arizona:</t>
  </si>
  <si>
    <t>Cutodian/Obligee's Name:</t>
  </si>
  <si>
    <t>Remittance Identifer:</t>
  </si>
  <si>
    <t>Atlas Number:</t>
  </si>
  <si>
    <t xml:space="preserve">Current Calculated Date Is:  </t>
  </si>
  <si>
    <t xml:space="preserve">Alternate Termination Date:  </t>
  </si>
  <si>
    <t>Past -Due Child Support Arrears Great Than 12 Weeks?</t>
  </si>
  <si>
    <t xml:space="preserve"> Yes</t>
  </si>
  <si>
    <t xml:space="preserve"> No</t>
  </si>
  <si>
    <t>Name of Judge/Issuing Official:</t>
  </si>
  <si>
    <t>Title of Judge/Issuing Official:</t>
  </si>
  <si>
    <t>Liability:</t>
  </si>
  <si>
    <t>Anti-discrimination:</t>
  </si>
  <si>
    <t>Additional Information:</t>
  </si>
  <si>
    <t>Appendix A</t>
  </si>
  <si>
    <t>Findings on Contested Support Calculation Factors</t>
  </si>
  <si>
    <t xml:space="preserve">SUPERIOR COURT OF ARIZONA </t>
  </si>
  <si>
    <t>)</t>
  </si>
  <si>
    <t>Case No.</t>
  </si>
  <si>
    <t>and</t>
  </si>
  <si>
    <t xml:space="preserve"> ATLAS No.</t>
  </si>
  <si>
    <t>CHILD SUPPORT ORDER</t>
  </si>
  <si>
    <t>THE COURT FINDS that:</t>
  </si>
  <si>
    <t>1.</t>
  </si>
  <si>
    <t>Name</t>
  </si>
  <si>
    <t>2.</t>
  </si>
  <si>
    <r>
      <t xml:space="preserve">Child Support Guidelines.  </t>
    </r>
    <r>
      <rPr>
        <sz val="10"/>
        <rFont val="Arial"/>
        <family val="2"/>
      </rPr>
      <t>The required financial factors and any discretionary adjustments pursuant to the Arizona Child Support Guidelines are as set forth in the Child Support Worksheet, attached and incorporated herein by reference.</t>
    </r>
  </si>
  <si>
    <t>3.</t>
  </si>
  <si>
    <r>
      <rPr>
        <b/>
        <sz val="10"/>
        <rFont val="Arial"/>
        <family val="2"/>
      </rPr>
      <t xml:space="preserve">Findings on Contested Issues.  </t>
    </r>
    <r>
      <rPr>
        <sz val="10"/>
        <rFont val="Arial"/>
        <family val="2"/>
      </rPr>
      <t>For any contested issues see Appendix A.</t>
    </r>
  </si>
  <si>
    <t>4.</t>
  </si>
  <si>
    <t>Child Support.</t>
  </si>
  <si>
    <t>5.</t>
  </si>
  <si>
    <t>Support Arrears.</t>
  </si>
  <si>
    <t>6.</t>
  </si>
  <si>
    <t>Past Support.</t>
  </si>
  <si>
    <t>IT IS ORDERED that:</t>
  </si>
  <si>
    <t xml:space="preserve"> per</t>
  </si>
  <si>
    <t>month, payable on the 1st day of each month commencing</t>
  </si>
  <si>
    <t xml:space="preserve"> by wage assignment.</t>
  </si>
  <si>
    <t xml:space="preserve">Case No. </t>
  </si>
  <si>
    <t>Arrearage Judgment.</t>
  </si>
  <si>
    <t>Past Support Judgment.</t>
  </si>
  <si>
    <t>Total Monthly Payments.</t>
  </si>
  <si>
    <t>total,</t>
  </si>
  <si>
    <t>payable on the first (1st) day of each month commencing</t>
  </si>
  <si>
    <t>as follows:</t>
  </si>
  <si>
    <t>Current Child Support payment as ordered above:</t>
  </si>
  <si>
    <t>Child Support Arrearage payments:</t>
  </si>
  <si>
    <t>Current Spousal Maintenance payment:</t>
  </si>
  <si>
    <t>Past Due Spousal Maintenance payment:</t>
  </si>
  <si>
    <t>Clearinghouse handling fee:</t>
  </si>
  <si>
    <t>Total Monthly Payment:</t>
  </si>
  <si>
    <r>
      <rPr>
        <b/>
        <sz val="10"/>
        <rFont val="Arial"/>
        <family val="2"/>
      </rPr>
      <t xml:space="preserve">Clearinghouse.  </t>
    </r>
    <r>
      <rPr>
        <sz val="10"/>
        <rFont val="Arial"/>
        <family val="2"/>
      </rPr>
      <t xml:space="preserve">All payments shall be made through the Support Payment Clearinghouse pursuant to an </t>
    </r>
  </si>
  <si>
    <r>
      <t xml:space="preserve">remains responsible for the full monthly amount ordered.  Payments not made directly through the Support Payment Clearinghouse shall be considered </t>
    </r>
    <r>
      <rPr>
        <i/>
        <sz val="10"/>
        <rFont val="Arial"/>
        <family val="2"/>
      </rPr>
      <t>gifts</t>
    </r>
    <r>
      <rPr>
        <sz val="10"/>
        <rFont val="Arial"/>
        <family val="2"/>
      </rPr>
      <t xml:space="preserve"> unless otherwise ordered.  All payments shall be made payable to and mailed directly to:</t>
    </r>
  </si>
  <si>
    <t>Support Payment Clearinghouse</t>
  </si>
  <si>
    <t>P.O. Box 52107</t>
  </si>
  <si>
    <t>Phoenix, AZ 85072-2107</t>
  </si>
  <si>
    <r>
      <rPr>
        <b/>
        <sz val="10"/>
        <rFont val="Arial"/>
        <family val="2"/>
      </rPr>
      <t xml:space="preserve">Current Addresses.  </t>
    </r>
    <r>
      <rPr>
        <sz val="10"/>
        <rFont val="Arial"/>
        <family val="2"/>
      </rPr>
      <t xml:space="preserve">Pursuant to A.R.S. §25-322, the parties shall submit current address information in </t>
    </r>
  </si>
  <si>
    <t>The parties shall submit address changes within 10 days of the change.</t>
  </si>
  <si>
    <t>7.</t>
  </si>
  <si>
    <t>Medical Insurance.</t>
  </si>
  <si>
    <t>8.</t>
  </si>
  <si>
    <r>
      <t xml:space="preserve"> </t>
    </r>
    <r>
      <rPr>
        <b/>
        <sz val="10"/>
        <rFont val="Arial"/>
        <family val="2"/>
      </rPr>
      <t xml:space="preserve">Uninsured Costs.  </t>
    </r>
    <r>
      <rPr>
        <sz val="10"/>
        <rFont val="Arial"/>
        <family val="2"/>
      </rPr>
      <t>The costs of medical, dental and vision expenses not paid by insurance shall be</t>
    </r>
  </si>
  <si>
    <t>shared as follows:</t>
  </si>
  <si>
    <t>9.</t>
  </si>
  <si>
    <r>
      <rPr>
        <b/>
        <sz val="10"/>
        <rFont val="Arial"/>
        <family val="2"/>
      </rPr>
      <t xml:space="preserve">Travel Costs.  </t>
    </r>
    <r>
      <rPr>
        <sz val="10"/>
        <rFont val="Arial"/>
        <family val="2"/>
      </rPr>
      <t>The costs of travel related to parenting time over 100 miles away shall be shared as follows:</t>
    </r>
  </si>
  <si>
    <t>10.</t>
  </si>
  <si>
    <t>Tax Deductions.</t>
  </si>
  <si>
    <t>Both parents shall cooperate and execute all tax waivers and forms necessary to accomplish this allocation.</t>
  </si>
  <si>
    <t>11.</t>
  </si>
  <si>
    <r>
      <rPr>
        <b/>
        <sz val="10"/>
        <rFont val="Arial"/>
        <family val="2"/>
      </rPr>
      <t xml:space="preserve">Information Exchange.  </t>
    </r>
    <r>
      <rPr>
        <sz val="10"/>
        <rFont val="Arial"/>
        <family val="2"/>
      </rPr>
      <t xml:space="preserve">The parties shall exchange financial information including copies of tax returns, </t>
    </r>
  </si>
  <si>
    <t>earnings statements, a Parent's Worksheet for Child Support Amount, residential addresses and the names and addresses of their employers every 24 months.</t>
  </si>
  <si>
    <t>12.</t>
  </si>
  <si>
    <r>
      <t>IT IS FURTHER ORDERED</t>
    </r>
    <r>
      <rPr>
        <sz val="10"/>
        <rFont val="Arial"/>
        <family val="2"/>
      </rPr>
      <t xml:space="preserve"> denying any affirmative relief sought before the date of this Order that is not expressly granted above.</t>
    </r>
  </si>
  <si>
    <t>IMPORTANT INFORMATION:</t>
  </si>
  <si>
    <t>13.</t>
  </si>
  <si>
    <r>
      <rPr>
        <b/>
        <sz val="10"/>
        <rFont val="Arial"/>
        <family val="2"/>
      </rPr>
      <t xml:space="preserve">Other Orders.  </t>
    </r>
    <r>
      <rPr>
        <sz val="10"/>
        <rFont val="Arial"/>
        <family val="2"/>
      </rPr>
      <t>If this is a modification of child support, all other prior orders of this Court not modified</t>
    </r>
  </si>
  <si>
    <t>remain in full force and effect.</t>
  </si>
  <si>
    <t>14.</t>
  </si>
  <si>
    <r>
      <rPr>
        <b/>
        <sz val="10"/>
        <rFont val="Arial"/>
        <family val="2"/>
      </rPr>
      <t xml:space="preserve">Emancipation.  </t>
    </r>
    <r>
      <rPr>
        <sz val="10"/>
        <rFont val="Arial"/>
        <family val="2"/>
      </rPr>
      <t>Generally the obligation to pay child support in the full amount ordered herein continues</t>
    </r>
  </si>
  <si>
    <t>until the court formally modifies this order with a new order upon request of one of the parties or when the youngest child is emancipated.  A child is emancipated: On the date of the child's marriage.  On the child's 18th birthday and graduation from high school or age 19 (whichever comes first).  When a child is adopted or dies.</t>
  </si>
  <si>
    <t>Date</t>
  </si>
  <si>
    <t>Child Support Order</t>
  </si>
  <si>
    <r>
      <t>Jurisdiction.</t>
    </r>
    <r>
      <rPr>
        <sz val="10"/>
        <rFont val="Arial"/>
        <family val="2"/>
      </rPr>
      <t xml:space="preserve">  This Court has jurisdiction over the parties and issues presented, and proper service of process has been properly completed on all parties as required by law.</t>
    </r>
  </si>
  <si>
    <t>Parent A.</t>
  </si>
  <si>
    <t>and has a date of birth of</t>
  </si>
  <si>
    <t>Parent B.</t>
  </si>
  <si>
    <t>Legal  Decision - Making.</t>
  </si>
  <si>
    <t>Support Guidelines in the amount of</t>
  </si>
  <si>
    <t>Paternity Expenses.</t>
  </si>
  <si>
    <t>Vital Records.</t>
  </si>
  <si>
    <t>Presumptive Father.</t>
  </si>
  <si>
    <t xml:space="preserve"> per month,</t>
  </si>
  <si>
    <t xml:space="preserve">payable on the 1st day of each month commencing </t>
  </si>
  <si>
    <t>per month, payable on the first (1st) day of each month starting</t>
  </si>
  <si>
    <t xml:space="preserve"> as follows:</t>
  </si>
  <si>
    <t>Paternity Expenses Judgment direct payment:</t>
  </si>
  <si>
    <t>Cash Medical Support Order</t>
  </si>
  <si>
    <t>Total Payment By Order of Assignment:</t>
  </si>
  <si>
    <r>
      <t xml:space="preserve">Clearinghouse.  </t>
    </r>
    <r>
      <rPr>
        <sz val="10"/>
        <rFont val="Arial"/>
        <family val="2"/>
      </rPr>
      <t>All payments shall be made through the Support Payment Clearinghouse pursuant to</t>
    </r>
  </si>
  <si>
    <r>
      <t xml:space="preserve">Addresses.  </t>
    </r>
    <r>
      <rPr>
        <sz val="10"/>
        <rFont val="Arial"/>
        <family val="2"/>
      </rPr>
      <t>Pursuant to A.R.S. §25-322, the parties shall submit current address information in writing to</t>
    </r>
  </si>
  <si>
    <r>
      <t xml:space="preserve">Uninsured Costs.  </t>
    </r>
    <r>
      <rPr>
        <sz val="10"/>
        <rFont val="Arial"/>
        <family val="2"/>
      </rPr>
      <t>The costs of medical, dental and vision expenses not paid by insurance shall be shared as follows:</t>
    </r>
  </si>
  <si>
    <r>
      <t xml:space="preserve">Travel Costs.  </t>
    </r>
    <r>
      <rPr>
        <sz val="10"/>
        <rFont val="Arial"/>
        <family val="2"/>
      </rPr>
      <t>The costs of travel related to parenting time over 100 miles away shall be shared as follows:</t>
    </r>
  </si>
  <si>
    <t>15.</t>
  </si>
  <si>
    <r>
      <t xml:space="preserve">Information Exchange.  </t>
    </r>
    <r>
      <rPr>
        <sz val="10"/>
        <rFont val="Arial"/>
        <family val="2"/>
      </rPr>
      <t>The parties shall exchange financial information such as copies of tax returns, earnings statements, a Parent's Worksheet for Child Support Amount, residential addresses and the names and addresses of their employers every 24 months.</t>
    </r>
  </si>
  <si>
    <t>16.</t>
  </si>
  <si>
    <r>
      <t xml:space="preserve">Emancipation.  </t>
    </r>
    <r>
      <rPr>
        <sz val="10"/>
        <rFont val="Arial"/>
        <family val="2"/>
      </rPr>
      <t>Generally the obligation to pay child support in the full amount ordered herein continues</t>
    </r>
  </si>
  <si>
    <t>until the court enters an order modifying upon request of one of the parties or when the youngest child is emancipated.  A child is emancipated:</t>
  </si>
  <si>
    <t>On the date of the child's marriage.</t>
  </si>
  <si>
    <t>On the child's 18th birthday and graduation from high school or age 19 (which ever comes first).</t>
  </si>
  <si>
    <t>When the child is adopted.</t>
  </si>
  <si>
    <t>When the child dies.</t>
  </si>
  <si>
    <t>INCOME WITHHOLDING FOR SUPPORT</t>
  </si>
  <si>
    <t>OMB 0970-0154</t>
  </si>
  <si>
    <t>Expiration Date: 09/30/2023</t>
  </si>
  <si>
    <t>I. Sender Information: (Completed by the Sender)</t>
  </si>
  <si>
    <t xml:space="preserve"> ORIGINAL INCOME WITHHOLDING ORDER/NOTICE FOR SUPPORT (IWO)</t>
  </si>
  <si>
    <t xml:space="preserve"> AMENDED IWO</t>
  </si>
  <si>
    <t xml:space="preserve"> ONE-TIME ORDER/NOTICE FOR LUMP SUM PAYMENT</t>
  </si>
  <si>
    <t xml:space="preserve"> TERMINATION OF IWO</t>
  </si>
  <si>
    <t xml:space="preserve"> Child Support Enforcement Agency (CSE) Agency</t>
  </si>
  <si>
    <t xml:space="preserve"> Court</t>
  </si>
  <si>
    <t xml:space="preserve"> Attorney</t>
  </si>
  <si>
    <t xml:space="preserve"> Private Individual/Entity  (Check one)</t>
  </si>
  <si>
    <r>
      <t xml:space="preserve">NOTE:  </t>
    </r>
    <r>
      <rPr>
        <sz val="10.5"/>
        <rFont val="Arial Narrow"/>
        <family val="2"/>
      </rPr>
      <t xml:space="preserve"> This IWO must be regular on its face.  Under certain circumstances you must reject this IWO and return it to the sender (see IWO instructions </t>
    </r>
    <r>
      <rPr>
        <u/>
        <sz val="10.5"/>
        <rFont val="Arial Narrow"/>
        <family val="2"/>
      </rPr>
      <t>www.acf.hhs.gov/css/resource/income-withholding-for-support-instructions</t>
    </r>
    <r>
      <rPr>
        <sz val="10.5"/>
        <rFont val="Arial Narrow"/>
        <family val="2"/>
      </rPr>
      <t>).  If you receive this document from someone other than a state or tribal CSE agency or a Court, a copy of the underlying order must be attached.</t>
    </r>
  </si>
  <si>
    <t>State/Tribe/Territory</t>
  </si>
  <si>
    <t>Remittance ID (include w/payment)</t>
  </si>
  <si>
    <t>City/County/Dist./Tribe</t>
  </si>
  <si>
    <t>Order ID</t>
  </si>
  <si>
    <t>Case ID</t>
  </si>
  <si>
    <t>II. Employer and Case Information: (Completed by the Sender)</t>
  </si>
  <si>
    <t>RE:</t>
  </si>
  <si>
    <t>Employer/Income Withholder's Name</t>
  </si>
  <si>
    <t>Employee/Obligor's Name (Last, First, Middle)</t>
  </si>
  <si>
    <t>Employer/Income Withholder's Address</t>
  </si>
  <si>
    <t>Employee/Obligor's Social Security Number</t>
  </si>
  <si>
    <t>Employee/Obligor's Date of Birth</t>
  </si>
  <si>
    <t>Custodial Party/Obligee's Name (Last, First, Middle)</t>
  </si>
  <si>
    <t>Employer/Income Withholder's FEIN:</t>
  </si>
  <si>
    <t>Child(ren)'s Name(s) (Last, First, Middle)</t>
  </si>
  <si>
    <t>Child(ren)'s Birth Date(s)</t>
  </si>
  <si>
    <t>III. Order Information: (Completed by the Sender)</t>
  </si>
  <si>
    <t>Per</t>
  </si>
  <si>
    <t xml:space="preserve"> current child support</t>
  </si>
  <si>
    <t xml:space="preserve"> past-due child support - Arrears greater than 12 weeks?</t>
  </si>
  <si>
    <t xml:space="preserve"> current cash medical support</t>
  </si>
  <si>
    <t xml:space="preserve"> past-due cash medical support</t>
  </si>
  <si>
    <t xml:space="preserve"> current spousal support</t>
  </si>
  <si>
    <t xml:space="preserve"> past-due spousal support</t>
  </si>
  <si>
    <t xml:space="preserve"> other (must specify)</t>
  </si>
  <si>
    <r>
      <t xml:space="preserve">for a </t>
    </r>
    <r>
      <rPr>
        <b/>
        <sz val="10"/>
        <rFont val="Arial Narrow"/>
        <family val="2"/>
      </rPr>
      <t xml:space="preserve">Total Amount to Withhold </t>
    </r>
    <r>
      <rPr>
        <sz val="10"/>
        <rFont val="Arial Narrow"/>
        <family val="2"/>
      </rPr>
      <t xml:space="preserve">of </t>
    </r>
    <r>
      <rPr>
        <b/>
        <sz val="10"/>
        <rFont val="Arial Narrow"/>
        <family val="2"/>
      </rPr>
      <t/>
    </r>
  </si>
  <si>
    <t>IV. Amounts to Withhold: (Completed by the Sender)</t>
  </si>
  <si>
    <r>
      <t xml:space="preserve">You do not have to vary your pay cycle to be in compliance with the </t>
    </r>
    <r>
      <rPr>
        <i/>
        <sz val="10.5"/>
        <rFont val="Arial Narrow"/>
        <family val="2"/>
      </rPr>
      <t>Order Information</t>
    </r>
    <r>
      <rPr>
        <sz val="10.5"/>
        <rFont val="Arial Narrow"/>
        <family val="2"/>
      </rPr>
      <t>. If your pay cycle does not match
the ordered payment cycle, withhold one of the following amounts:</t>
    </r>
  </si>
  <si>
    <t xml:space="preserve"> per weekly pay period</t>
  </si>
  <si>
    <t xml:space="preserve"> per semimonthly pay period (twice a month)</t>
  </si>
  <si>
    <t xml:space="preserve"> per biweekly pay period (every two weeks)</t>
  </si>
  <si>
    <t xml:space="preserve"> per monthly pay period</t>
  </si>
  <si>
    <r>
      <t xml:space="preserve"> </t>
    </r>
    <r>
      <rPr>
        <b/>
        <sz val="10.5"/>
        <rFont val="Arial Narrow"/>
        <family val="2"/>
      </rPr>
      <t xml:space="preserve">Lump Sum Payment: </t>
    </r>
    <r>
      <rPr>
        <sz val="10.5"/>
        <rFont val="Arial Narrow"/>
        <family val="2"/>
      </rPr>
      <t>Do not stop any existing IWO unless you receive a termination order.</t>
    </r>
  </si>
  <si>
    <t>Employer/Income Withholder’s Name:</t>
  </si>
  <si>
    <t>Employer/Income Withholder’s FEIN:</t>
  </si>
  <si>
    <t>Employee/Obligor's Name:</t>
  </si>
  <si>
    <t>SSN:</t>
  </si>
  <si>
    <t>Case ID:</t>
  </si>
  <si>
    <t xml:space="preserve">Order ID: </t>
  </si>
  <si>
    <t>V. Remittance Information: (Completed by the Sender except for the “Return to Sender” check box.)</t>
  </si>
  <si>
    <r>
      <t xml:space="preserve">State-specific withholding limit information is available at </t>
    </r>
    <r>
      <rPr>
        <u/>
        <sz val="10"/>
        <rFont val="Arial Narrow"/>
        <family val="2"/>
      </rPr>
      <t>www.acf.hhs.gov/css/resource/state-income-withholdingcontacts-and-program-requirements</t>
    </r>
    <r>
      <rPr>
        <sz val="10"/>
        <rFont val="Arial Narrow"/>
        <family val="2"/>
      </rPr>
      <t xml:space="preserve">. For tribe-specific contacts, payment addresses, and withholding limitations, please contact the tribe at </t>
    </r>
    <r>
      <rPr>
        <u/>
        <sz val="10"/>
        <rFont val="Arial Narrow"/>
        <family val="2"/>
      </rPr>
      <t>www.acf.hhs.gov/sites/default/files/programs/css/tribal_agency_contacts_printable _pdf.pdf</t>
    </r>
    <r>
      <rPr>
        <sz val="10"/>
        <rFont val="Arial Narrow"/>
        <family val="2"/>
      </rPr>
      <t xml:space="preserve"> or </t>
    </r>
    <r>
      <rPr>
        <u/>
        <sz val="10"/>
        <rFont val="Arial Narrow"/>
        <family val="2"/>
      </rPr>
      <t>www.bia.gov/tribalmap/DataDotGocSamples/tld_map.html</t>
    </r>
    <r>
      <rPr>
        <sz val="10"/>
        <rFont val="Arial Narrow"/>
        <family val="2"/>
      </rPr>
      <t>.</t>
    </r>
  </si>
  <si>
    <r>
      <t xml:space="preserve">You may not withhold more than the lesser of: 1) the amounts allowed by the Federal Consumer Credit Protection Act (CCPA) [15 USC §1673 (b)]; or 2) the amounts allowed by the law of the state of the employee/obligor’s principal place of employment if the place of employment is in a state; or the tribal law of the employee/obligor’s principal place of employment if the place of employment is under tribal jurisdiction. The CCPA is available at </t>
    </r>
    <r>
      <rPr>
        <u/>
        <sz val="10"/>
        <rFont val="Arial Narrow"/>
        <family val="2"/>
      </rPr>
      <t>www.dol.gov/sites/dolgov/files/WHD/legacy/files/garn01.pdf</t>
    </r>
    <r>
      <rPr>
        <sz val="10"/>
        <rFont val="Arial Narrow"/>
        <family val="2"/>
      </rPr>
      <t>. If the Order Information section does not indicate that the arrears are greater than 12 weeks, then the employer should calculate the CCPA limit using the lower percentage.</t>
    </r>
  </si>
  <si>
    <t>If there is more than one IWO against this employee/obligor and you are unable to fully honor all IWOs due to federal, state, or tribal withholding limits, you must honor all IWOs to the greatest extent possible, giving priority to current support before payment of any past-due support.</t>
  </si>
  <si>
    <r>
      <t xml:space="preserve">If the obligor is a nonemployee, obtain withholding limits from the Supplemental Information section in this IWO. This information is also available </t>
    </r>
    <r>
      <rPr>
        <u/>
        <sz val="10"/>
        <rFont val="Arial Narrow"/>
        <family val="2"/>
      </rPr>
      <t>at www.acf.hhs.gov/css/resource/state-income-withholding-contacts-and-programrequirements</t>
    </r>
    <r>
      <rPr>
        <sz val="10"/>
        <rFont val="Arial Narrow"/>
        <family val="2"/>
      </rPr>
      <t>.</t>
    </r>
  </si>
  <si>
    <t>Remit payment to</t>
  </si>
  <si>
    <t>(SDU/Tribal Order Payee)</t>
  </si>
  <si>
    <t xml:space="preserve">at </t>
  </si>
  <si>
    <t>(SDU/Tribal Payee Adress)</t>
  </si>
  <si>
    <t>Include the Remittance ID with the payment and if necessary this locator code of the SDU/Tribal order payee</t>
  </si>
  <si>
    <t>on the payment.</t>
  </si>
  <si>
    <r>
      <t xml:space="preserve">To set up electronic payments or to learn state requirements for checks, contact the State Disbursement Unit (SDU). Contacts and information are found at </t>
    </r>
    <r>
      <rPr>
        <u/>
        <sz val="10.5"/>
        <rFont val="Arial Narrow"/>
        <family val="2"/>
      </rPr>
      <t>www.acf.hhs.gov/css/resource/sdu-eft-contacts-and-program-requirements</t>
    </r>
    <r>
      <rPr>
        <sz val="10.5"/>
        <rFont val="Arial Narrow"/>
        <family val="2"/>
      </rPr>
      <t>.</t>
    </r>
  </si>
  <si>
    <r>
      <rPr>
        <b/>
        <sz val="10.5"/>
        <rFont val="Arial Narrow"/>
        <family val="2"/>
      </rPr>
      <t>Return to Sender (Completed by Employer/Income Withholder).</t>
    </r>
    <r>
      <rPr>
        <sz val="10.5"/>
        <rFont val="Arial Narrow"/>
        <family val="2"/>
      </rPr>
      <t xml:space="preserve"> Payment must be directed to an SDU in</t>
    </r>
  </si>
  <si>
    <t>accordance with sections 466(b)(5) and (6) of the Social Security Act or Tribal Payee (see Payments in Section VI). If payment is not directed to an SDU/Tribal Payee or this IWO is not regular on its face, you must check this box and return the IWO to the sender.</t>
  </si>
  <si>
    <t>If Required by State or Tribal Law:</t>
  </si>
  <si>
    <t>Signature of Judge/Issuing Official:</t>
  </si>
  <si>
    <t>Print Name of Judge/Issuing Official:</t>
  </si>
  <si>
    <t>Date of Signature:</t>
  </si>
  <si>
    <t>If the employee/obligor works in a state or for a tribe that is different from the state or tribe that issued this order, a copy of this IWO must be provided to the employee/obligor.</t>
  </si>
  <si>
    <t>If checked, the employer/income withholder must provide a copy of this form to the employee/obligor.</t>
  </si>
  <si>
    <t>VI. Additional Information for Employers/Income Withholders: (Completed by the Sender)</t>
  </si>
  <si>
    <r>
      <t xml:space="preserve">Priority: </t>
    </r>
    <r>
      <rPr>
        <sz val="10.5"/>
        <rFont val="Arial Narrow"/>
        <family val="2"/>
      </rPr>
      <t>Withholding for support has priority over any other legal process under State law against the same income (section 466(b)(7) of the Social Security Act). If a federal tax levy is in effect, please notify the sender.</t>
    </r>
  </si>
  <si>
    <r>
      <t xml:space="preserve">Payments:  </t>
    </r>
    <r>
      <rPr>
        <sz val="10.5"/>
        <rFont val="Arial Narrow"/>
        <family val="2"/>
      </rPr>
      <t>You must send child support payments payable by income withholding to the appropriate State Disbursement Unit or to a tribal CSE agency within 7 business days, or fewer if required by state law, after the date the income would have been paid to the employee/obligor and include the date you withheld the support from his or her income. You may combine withheld amounts from more than one employee/obligor’s income in a single payment as long as you separately identify each employee/obligor’s portion of the payment. Child support payments may not be made through the federal Office of Child Support Enforcement (OCSE) Child Support Portal.</t>
    </r>
  </si>
  <si>
    <r>
      <t>Lump Sum Payments:</t>
    </r>
    <r>
      <rPr>
        <sz val="10.5"/>
        <rFont val="Arial Narrow"/>
        <family val="2"/>
      </rPr>
      <t xml:space="preserve">  You may be required to notify a state or tribal CSE agency of upcoming lump sum payments to this employee/obligor such as bonuses, commissions, or severance pay. Contact the sender to determine if you are required to report and/or withhold lump sum payments. Employers/income withholders may use OCSE’s Child Support Portal (</t>
    </r>
    <r>
      <rPr>
        <u/>
        <sz val="10.5"/>
        <rFont val="Arial Narrow"/>
        <family val="2"/>
      </rPr>
      <t>ocsp.acf.hhs.gov/csp/</t>
    </r>
    <r>
      <rPr>
        <sz val="10.5"/>
        <rFont val="Arial Narrow"/>
        <family val="2"/>
      </rPr>
      <t>) to provide information about employees who are eligible to receive lump sum payments and to provide contacts, addresses, and other information about their companies. Child support payments may not be made through the federal OCSE Child Support Portal.</t>
    </r>
  </si>
  <si>
    <r>
      <t xml:space="preserve">Liability:  </t>
    </r>
    <r>
      <rPr>
        <sz val="10.5"/>
        <rFont val="Arial Narrow"/>
        <family val="2"/>
      </rPr>
      <t>If you have any doubts about the validity of this IWO, contact the sender. If you fail to withhold income from the employee/obligor's income as the IWO directs, you are liable for both the accumulated amount you should have withheld and any penalties set by state or tribal law/procedure.</t>
    </r>
  </si>
  <si>
    <r>
      <rPr>
        <b/>
        <sz val="10.5"/>
        <rFont val="Arial Narrow"/>
        <family val="2"/>
      </rPr>
      <t>Anti-discrimination:</t>
    </r>
    <r>
      <rPr>
        <sz val="10.5"/>
        <rFont val="Arial Narrow"/>
        <family val="2"/>
      </rPr>
      <t xml:space="preserve"> You are subject to a fine determined under state or tribal law for discharging an employee/obligor from employment, refusing to employ, or taking disciplinary action against an employee/obligor because of this IWO.</t>
    </r>
  </si>
  <si>
    <t xml:space="preserve">Supplemental Information: </t>
  </si>
  <si>
    <t>VII. Notification of Employment Termination or Income Status: (Completed by the Employer/Income Withholder)</t>
  </si>
  <si>
    <r>
      <t>If this employee/obligor never worked for you or you are no longer withholding income for this employee/obligor, you must promptly notify the CSE agency and/or the sender by returning this form to the address listed in the Contact Information section below or using OCSE’s Child Support Portal (</t>
    </r>
    <r>
      <rPr>
        <u/>
        <sz val="10.5"/>
        <rFont val="Arial Narrow"/>
        <family val="2"/>
      </rPr>
      <t>ocsp.acf.hhs.gov/csp/</t>
    </r>
    <r>
      <rPr>
        <sz val="10.5"/>
        <rFont val="Arial Narrow"/>
        <family val="2"/>
      </rPr>
      <t>). Please report the new employer or income withholder, if known.</t>
    </r>
  </si>
  <si>
    <t xml:space="preserve">  This person has never worked for this employer nor received periodic income.</t>
  </si>
  <si>
    <t xml:space="preserve">  This person no longer works for this employer nor receives periodic income.</t>
  </si>
  <si>
    <t>Please provide the following information for the employee/obligor:</t>
  </si>
  <si>
    <t>Termination date:</t>
  </si>
  <si>
    <t xml:space="preserve">Last known phone number: </t>
  </si>
  <si>
    <t>Last known address:</t>
  </si>
  <si>
    <t>Final payment date to SDU/tribal payee:</t>
  </si>
  <si>
    <t>Final payment amount:</t>
  </si>
  <si>
    <t>New employer's or income withholder's name:</t>
  </si>
  <si>
    <t xml:space="preserve">New employer's or income withholder's address: </t>
  </si>
  <si>
    <t>VIII.Contact Information: (Completed by the Sender)</t>
  </si>
  <si>
    <r>
      <t>To Employer/Income Withholder</t>
    </r>
    <r>
      <rPr>
        <b/>
        <sz val="10.5"/>
        <rFont val="Arial Narrow"/>
        <family val="2"/>
      </rPr>
      <t xml:space="preserve">:  </t>
    </r>
    <r>
      <rPr>
        <sz val="10.5"/>
        <rFont val="Arial Narrow"/>
        <family val="2"/>
      </rPr>
      <t>If you have any questions, contact</t>
    </r>
  </si>
  <si>
    <t>(sender name)</t>
  </si>
  <si>
    <t>Send termination/income status notice and other correspondence to:</t>
  </si>
  <si>
    <t>(sender address)</t>
  </si>
  <si>
    <r>
      <rPr>
        <b/>
        <u/>
        <sz val="10.5"/>
        <rFont val="Arial Narrow"/>
        <family val="2"/>
      </rPr>
      <t>To Employee/Obligor</t>
    </r>
    <r>
      <rPr>
        <b/>
        <sz val="10.5"/>
        <rFont val="Arial Narrow"/>
        <family val="2"/>
      </rPr>
      <t>:</t>
    </r>
    <r>
      <rPr>
        <sz val="10.5"/>
        <rFont val="Arial Narrow"/>
        <family val="2"/>
      </rPr>
      <t xml:space="preserve">  If the employee/obligor has questions, contact:</t>
    </r>
  </si>
  <si>
    <t>IMPORTANT: The person completing this form is advised that the information may be shared with the employee/obligor.</t>
  </si>
  <si>
    <r>
      <rPr>
        <b/>
        <sz val="10.5"/>
        <rFont val="Arial Narrow"/>
        <family val="2"/>
      </rPr>
      <t>Encryption Requirements:</t>
    </r>
    <r>
      <rPr>
        <sz val="10.5"/>
        <rFont val="Arial Narrow"/>
        <family val="2"/>
      </rPr>
      <t xml:space="preserve">
When communicating this form through electronic transmission, precautions must be taken to ensure the security of the data. Child support agencies are encouraged to use the electronic applications provided by the federal Office of Child Support Enforcement. Other electronic means, such as encrypted attachments to emails, may be used if the encryption method is compliant with Federal Information Processing Standard (FIPS) Publication 140-2 (FIPS PUB 140-2).</t>
    </r>
  </si>
  <si>
    <t>PAPERWORK REDUCTION ACT OF 1995 (Pub. L. 104-13) STATEMENT OF PUBLIC BURDEN: The purpose of this information collection is to provide uniformity and standardization. Public reporting burden for this collection of information is estimated to average two to five minutes per response, including the time for reviewing instructions, gathering and maintaining the data needed, and reviewing the collection of information. This is a mandatory col lection of information in accordance with 45 CFR 303.100 of the Child Support Enforcement Program. An agency may not conduct or sponsor, and a person is not required to respond to, a collection of information subject to the requirements of the Paperwork Reduction Act of 1995, unless it displays a currently valid OMB control number. If you have any comments on this collection of information, please contact the Employer Services Team by email at employerservices@acf.hhs.gov.</t>
  </si>
  <si>
    <t>Income Withholding Order Information Page</t>
  </si>
  <si>
    <r>
      <rPr>
        <u/>
        <sz val="11"/>
        <rFont val="Arial Narrow"/>
        <family val="2"/>
      </rPr>
      <t>Presumptive Termination Date:</t>
    </r>
    <r>
      <rPr>
        <sz val="11"/>
        <rFont val="Arial Narrow"/>
        <family val="2"/>
      </rPr>
      <t xml:space="preserve"> </t>
    </r>
  </si>
  <si>
    <t>This order is presumed to terminate on the presumptive termination date:</t>
  </si>
  <si>
    <t>when the youngest child who is subject to this order is expected to emancipate as defined in A.R.S. §§ 25-320 and 25-501 unless the order contains a payment on arrears. The presumptive termination date of this order may be modified by the court upon changed circumstances.</t>
  </si>
  <si>
    <t xml:space="preserve">Note to Employers/Other Withholders:  </t>
  </si>
  <si>
    <t>If the most recent Income Withholding Order in the case is for current
child support only, you should discontinue withholding monies after
the last pay period of the month of the presumptive termination date above. If the Income Withholding Order includes current child support and an arrearage payment, you should continue withholding the entire amount listed on the order until further notice.</t>
  </si>
  <si>
    <t>Schedule of Basic Support Obligation</t>
  </si>
  <si>
    <t>One Child</t>
  </si>
  <si>
    <t>Two Children</t>
  </si>
  <si>
    <t>Three Children</t>
  </si>
  <si>
    <t>Four Children</t>
  </si>
  <si>
    <t>Five Children</t>
  </si>
  <si>
    <t>Six Children</t>
  </si>
  <si>
    <t>Parenting Time</t>
  </si>
  <si>
    <t>Number of Parenting Time Days</t>
  </si>
  <si>
    <t>Adjustment Percentage</t>
  </si>
  <si>
    <t>More</t>
  </si>
  <si>
    <t>Schedule of Basic Support Obligations</t>
  </si>
  <si>
    <t>This Schedule is only part of the overall guidelines and must be used together with the accompanying information</t>
  </si>
  <si>
    <t>Combined Adjusted Gross Income</t>
  </si>
  <si>
    <t>Name of County To Appear in All Captions is:</t>
  </si>
  <si>
    <t>Order of Assignment (IWO) Variables That Seldom Change Within a County:</t>
  </si>
  <si>
    <t>County Lookup Values</t>
  </si>
  <si>
    <t>Arizona</t>
  </si>
  <si>
    <t>Apache</t>
  </si>
  <si>
    <t>Cochise</t>
  </si>
  <si>
    <t>Coconino</t>
  </si>
  <si>
    <t>Gila</t>
  </si>
  <si>
    <t>Graham</t>
  </si>
  <si>
    <t>Greenlee</t>
  </si>
  <si>
    <t>La Paz</t>
  </si>
  <si>
    <t>Mohave</t>
  </si>
  <si>
    <t>Navajo</t>
  </si>
  <si>
    <t>Pima</t>
  </si>
  <si>
    <t>Pinal</t>
  </si>
  <si>
    <t>Santa Cruz</t>
  </si>
  <si>
    <t>Yavapai</t>
  </si>
  <si>
    <t>Yuma</t>
  </si>
  <si>
    <r>
      <rPr>
        <i/>
        <u/>
        <sz val="10"/>
        <rFont val="Arial"/>
        <family val="2"/>
      </rPr>
      <t>Remittance Information</t>
    </r>
    <r>
      <rPr>
        <i/>
        <sz val="10"/>
        <rFont val="Arial"/>
        <family val="2"/>
      </rPr>
      <t>:</t>
    </r>
  </si>
  <si>
    <t>Place of employment</t>
  </si>
  <si>
    <t>Begin withholding within</t>
  </si>
  <si>
    <t>fourteen (14)</t>
  </si>
  <si>
    <t>days of 1st pay period after the date of</t>
  </si>
  <si>
    <t>receipt of this Order</t>
  </si>
  <si>
    <t>Send payments within working days of pay date:</t>
  </si>
  <si>
    <t>two (2)</t>
  </si>
  <si>
    <t>Maximum % of disposable income to withhold is:</t>
  </si>
  <si>
    <t>fifty percent (50%)</t>
  </si>
  <si>
    <t>FIPS code is (Maricopa County is 013):</t>
  </si>
  <si>
    <t>001</t>
  </si>
  <si>
    <t>003</t>
  </si>
  <si>
    <t>005</t>
  </si>
  <si>
    <t>007</t>
  </si>
  <si>
    <t>009</t>
  </si>
  <si>
    <t>011</t>
  </si>
  <si>
    <t>012</t>
  </si>
  <si>
    <t>013</t>
  </si>
  <si>
    <t>015</t>
  </si>
  <si>
    <t>017</t>
  </si>
  <si>
    <t>019</t>
  </si>
  <si>
    <t>021</t>
  </si>
  <si>
    <t>023</t>
  </si>
  <si>
    <t>025</t>
  </si>
  <si>
    <t>027</t>
  </si>
  <si>
    <t>SDU/Tribal Order Payee:</t>
  </si>
  <si>
    <t>SDU/Tribal Payee Address:</t>
  </si>
  <si>
    <t>P.O. Box 52107, Phoenix, AZ 85072-2107</t>
  </si>
  <si>
    <r>
      <t>Contact Information</t>
    </r>
    <r>
      <rPr>
        <i/>
        <sz val="10"/>
        <rFont val="Arial"/>
        <family val="2"/>
      </rPr>
      <t>:</t>
    </r>
  </si>
  <si>
    <t>Employer/Income Withholder to contact Issuer Name:</t>
  </si>
  <si>
    <t>Clerk of Superior Court</t>
  </si>
  <si>
    <t>Phone Number:</t>
  </si>
  <si>
    <t>(928) 337-7550</t>
  </si>
  <si>
    <t>(520) 432-8600</t>
  </si>
  <si>
    <t>(928) 679-7600</t>
  </si>
  <si>
    <t>(928) 402-8866</t>
  </si>
  <si>
    <t>(928) 428-3100</t>
  </si>
  <si>
    <t>(928) 865-4242</t>
  </si>
  <si>
    <t>(928) 669-6131</t>
  </si>
  <si>
    <t>(602) 506-3762</t>
  </si>
  <si>
    <t>(928) 753-0713</t>
  </si>
  <si>
    <t>(928) 524-4188</t>
  </si>
  <si>
    <t>(520) 724-3250</t>
  </si>
  <si>
    <t>(520) 509-3555</t>
  </si>
  <si>
    <t>(520) 375-7700</t>
  </si>
  <si>
    <t>(928) 771-3312</t>
  </si>
  <si>
    <t>(928) 817-4210</t>
  </si>
  <si>
    <t>Fax Number:</t>
  </si>
  <si>
    <t>(928) 337-2771</t>
  </si>
  <si>
    <t>(520) 432-4850</t>
  </si>
  <si>
    <t>(928) 679-7646</t>
  </si>
  <si>
    <t>(928) 425-7802</t>
  </si>
  <si>
    <t>(928) 428-0061</t>
  </si>
  <si>
    <t>(928) 865-5358</t>
  </si>
  <si>
    <t>(928) 669-2186</t>
  </si>
  <si>
    <t>(602) 506-1937</t>
  </si>
  <si>
    <t>(928) 718-4930</t>
  </si>
  <si>
    <t>(928) 524-4246</t>
  </si>
  <si>
    <t>(520) 724-9066</t>
  </si>
  <si>
    <t>(520) 866-5320</t>
  </si>
  <si>
    <t>(520) 375-7703</t>
  </si>
  <si>
    <t>(928) 771-3111</t>
  </si>
  <si>
    <t>(928) 817-4211</t>
  </si>
  <si>
    <t>Email or website:</t>
  </si>
  <si>
    <t>https://www.apachecountyaz.gov/Clerk-of-the-Court</t>
  </si>
  <si>
    <t>https://www.cochise.az.gov/179/Clerk-of-the-Superior-Court</t>
  </si>
  <si>
    <t>https://www.coconino.az.gov/132/Clerk-of-the-Superior-Court</t>
  </si>
  <si>
    <t>https://www.gilacountyaz.gov/government/courts/clerk_of_the_court/index.php</t>
  </si>
  <si>
    <t>https://www.graham.az.gov/186/Clerk-of-the-Superior-Court</t>
  </si>
  <si>
    <t>https://www.co.greenlee.az.us/elected-officials/courts/clerk-of-the-courts-home</t>
  </si>
  <si>
    <t>http://www.lapazsuperiorcourtclerk.com/index.html</t>
  </si>
  <si>
    <t>https://www.clerkofcourt.maricopa.gov/</t>
  </si>
  <si>
    <t>https://www.mohavecourts.com/clerk/homepage.htm</t>
  </si>
  <si>
    <t>https://www.navajocountyaz.gov/Departments/Clerk-of-the-Court</t>
  </si>
  <si>
    <t>COC_childsupportweb@coc.pima.gov</t>
  </si>
  <si>
    <t>https://coscpinalcountyaz.gov/</t>
  </si>
  <si>
    <t>https://www.santacruzcountyaz.gov/132/Clerk-of-the-Superior-Court</t>
  </si>
  <si>
    <t>https://courts.yavapaiaz.gov/clerk/</t>
  </si>
  <si>
    <t>https://www.yumacountyaz.gov/government/courts/clerk-of-superior-court</t>
  </si>
  <si>
    <t>Notices &amp; Coorespondence to Issuer:</t>
  </si>
  <si>
    <t>Clerk of Superior Court, Family Court Services</t>
  </si>
  <si>
    <t>Notices &amp; Coorespondence to Issuer Address:</t>
  </si>
  <si>
    <t>70 W. 3rd South, 2nd Floor, St. Johns, AZ 85936</t>
  </si>
  <si>
    <t>100 Quality Hill Rd., Bisbee, AZ 85603</t>
  </si>
  <si>
    <t>200 N. San Francisco St., Flagstaff, AZ 86001</t>
  </si>
  <si>
    <t>1400 E. Ash, Globe, AZ 85501</t>
  </si>
  <si>
    <t>800 W. Main St., Safford, AZ 85546</t>
  </si>
  <si>
    <t>223 W. 5th St., Clifton, AZ 85533</t>
  </si>
  <si>
    <t>1316 Kofa Ave., Suite 607, Parker, AZ 85344</t>
  </si>
  <si>
    <t>201 W. Jefferson, Phoenix, AZ 85003</t>
  </si>
  <si>
    <t>415 E. Spring St., First Floor, Kingman, AZ 86402</t>
  </si>
  <si>
    <t>100 E. Code Talkers Dr., Holbrook, AZ 86025</t>
  </si>
  <si>
    <t>110 W. Congress St., First Floor, Tucson, AZ 85701-1317</t>
  </si>
  <si>
    <t>971 Jason Lopez Circle, Bldg. A, Florence, AZ 85132</t>
  </si>
  <si>
    <t>2160 N. Congress Dr., Suite 2200, Nogales, AZ 85621</t>
  </si>
  <si>
    <t>120 S. Cortez St., Rm. 207, Prescott, AZ 86303</t>
  </si>
  <si>
    <t>250 W. 2nd St., Yuma, AZ 85364</t>
  </si>
  <si>
    <t>Employee/Obligor questions, contact:</t>
  </si>
  <si>
    <t>Other amount (specify):</t>
  </si>
  <si>
    <t>Clearinghouse Fee</t>
  </si>
  <si>
    <t>Clearinghouse Fee per month</t>
  </si>
  <si>
    <t>Arizona Minimum Wage</t>
  </si>
  <si>
    <t>Configuration</t>
  </si>
  <si>
    <t>Defined name</t>
  </si>
  <si>
    <t>Value</t>
  </si>
  <si>
    <t>Description</t>
  </si>
  <si>
    <t>Version</t>
  </si>
  <si>
    <t>2.1.6</t>
  </si>
  <si>
    <r>
      <t xml:space="preserve">Current version number of this workbook. This should be updated </t>
    </r>
    <r>
      <rPr>
        <b/>
        <sz val="10"/>
        <rFont val="Arial"/>
        <family val="2"/>
      </rPr>
      <t>every time there is a change to this workbook</t>
    </r>
    <r>
      <rPr>
        <sz val="10"/>
        <rFont val="Arial"/>
        <family val="2"/>
      </rPr>
      <t>, not just this worksheet.</t>
    </r>
  </si>
  <si>
    <t>OlderChildAdjustmentRate</t>
  </si>
  <si>
    <t>The rate at which average expenditures for children age 12 or older exceed the average expenditures for all children.</t>
  </si>
  <si>
    <t>Calculations</t>
  </si>
  <si>
    <t>Ready</t>
  </si>
  <si>
    <t>Boolean indicating whether the minimum inputs have been met and the Child Support Obligation can be calculated.</t>
  </si>
  <si>
    <t>ChildDobExists</t>
  </si>
  <si>
    <t>Date of birth has been provided for ALL children. (Any missing DOB requires custom tax table).</t>
  </si>
  <si>
    <t>Children</t>
  </si>
  <si>
    <t>Number of minor children.</t>
  </si>
  <si>
    <t>Children12Over</t>
  </si>
  <si>
    <t>Number of minor children 12 years of age or more.</t>
  </si>
  <si>
    <t>Children12Under</t>
  </si>
  <si>
    <t>Number of minor children 12 years of age or less.</t>
  </si>
  <si>
    <t>ChildrenOtherA</t>
  </si>
  <si>
    <t>Number of other natural or adopted children NOT covered by a court order that are supported by Parent A.</t>
  </si>
  <si>
    <t>ChildrenOtherB</t>
  </si>
  <si>
    <t>Number of other natural or adopted children NOT covered by a court order that are supported by Parent B.</t>
  </si>
  <si>
    <t>ParentingPlan</t>
  </si>
  <si>
    <t>The Parenting Plan's identification of the party that will have the most time with the children (A, B, or Equal)</t>
  </si>
  <si>
    <t>ChildSupportIncomeA</t>
  </si>
  <si>
    <t>Child Support Income of Parent A (without adjustment).</t>
  </si>
  <si>
    <t>ChildSupportIncomeB</t>
  </si>
  <si>
    <t>Child Support Income of Parent B (without adjustment).</t>
  </si>
  <si>
    <t>AdjustedChildSupportIncomeA</t>
  </si>
  <si>
    <t>Child Support Income of Parent A after applying adjustments.</t>
  </si>
  <si>
    <t>AdjustedChildSupportIncomeB</t>
  </si>
  <si>
    <t>Child Support Income of Parent B after applying adjustments.</t>
  </si>
  <si>
    <t>CombinedAdjustedChildSupportIncome</t>
  </si>
  <si>
    <t>The total of both parents’ Adjusted Child Support Income.</t>
  </si>
  <si>
    <t>BasicChildSupportObligation</t>
  </si>
  <si>
    <t>Basic (unadjusted) Child Support Obligation based upon parent's combined Child Support Income.</t>
  </si>
  <si>
    <t>OlderChildAdjustment</t>
  </si>
  <si>
    <t>The average expenditures for children age 12 or older exceed the average expenditures for all children by approximately 10%.</t>
  </si>
  <si>
    <t>BasicChildSupportObligationAdjustmentsA</t>
  </si>
  <si>
    <t>Parent A's additional child-related costs (see Section III.B of the Guidelines).</t>
  </si>
  <si>
    <t>BasicChildSupportObligationAdjustmentsB</t>
  </si>
  <si>
    <t>Parent B's additional child-related costs (see Section III.B of the Guidelines).</t>
  </si>
  <si>
    <t>CombinedChildSupportObligation</t>
  </si>
  <si>
    <t>The total amount of costs that the court must consider for a child support determination (see Section III.B of the Guidelines).</t>
  </si>
  <si>
    <t>ObligationPercentageA</t>
  </si>
  <si>
    <t>The proportionate percentage of the Combined Child Support Obligation for Parent A.</t>
  </si>
  <si>
    <t>ObligationPercentageB</t>
  </si>
  <si>
    <t>The proportionate percentage of the Combined Child Support Obligation for Parent B.</t>
  </si>
  <si>
    <t>ObligationShareA</t>
  </si>
  <si>
    <t>Parent A's proportionate share of the Combined Child Support Obligation with bankers rounding (not native to Excel) applied.</t>
  </si>
  <si>
    <t>ObligationShareB</t>
  </si>
  <si>
    <t>Parent B's proportionate share of the Combined Child Support Obligation with bankers rounding (not native to Excel) applied.</t>
  </si>
  <si>
    <t>ParentingTime</t>
  </si>
  <si>
    <t>The number of days the children spend with the non-custodial parent.</t>
  </si>
  <si>
    <t>ParentingTimePercentage</t>
  </si>
  <si>
    <t>The percentage at which parenting time should be adjusted (see Section V.C of the Guidelines).</t>
  </si>
  <si>
    <t>ParentingTimeAdjustmentA</t>
  </si>
  <si>
    <t>Parent A's adjustment for shift in expenses due to time spent with the child (see Section V.B of the Guidelines).</t>
  </si>
  <si>
    <t>ParentingTimeAdjustmentB</t>
  </si>
  <si>
    <t>Parent B's adjustment for shift in expenses due to time spent with the child (see Section V.B of the Guidelines).</t>
  </si>
  <si>
    <t>ProportionateChildSupportObligationA</t>
  </si>
  <si>
    <t>Parent A's Proportionate Share of the Presumptive Child Support Obligation (see Section VI of the Guidelines).</t>
  </si>
  <si>
    <t>ProportionateChildSupportObligationB</t>
  </si>
  <si>
    <t>Parent B's Proportionate Share of the Presumptive Child Support Obligation (see Section VI of the Guidelines).</t>
  </si>
  <si>
    <t>Obligor</t>
  </si>
  <si>
    <t>Party obligated to pay child support to the other party (Parent A or Parent B). Uses "the obligor" if specific party has not yet been determined.</t>
  </si>
  <si>
    <t>Obligee</t>
  </si>
  <si>
    <t>Party obligated to receive child support from the other party (Parent A or Parent B). Uses "the obligee" if specific party has not yet been determined.</t>
  </si>
  <si>
    <t>ObligorACSI</t>
  </si>
  <si>
    <t>The obligor's Adjusted Child Support Income.</t>
  </si>
  <si>
    <t>SelfSupportReserve</t>
  </si>
  <si>
    <t>An amount equal to 80% of the monthly full-time earnings of a minimum wage earner (see Section VIII.B of the Guidelines).</t>
  </si>
  <si>
    <t>SelfSupportReserveTest</t>
  </si>
  <si>
    <t>The (maximum) amount of child support that can be ordered against the obligor (see Section VIII.C of the Guidelines).</t>
  </si>
  <si>
    <t>SelfSupportReserveAdjustmentA</t>
  </si>
  <si>
    <t>The amount to reduce the obligor's Proportionate Child Support Obligation based on the results of the Self-Support Reserve Test.</t>
  </si>
  <si>
    <t>SelfSupportReserveAdjustmentB</t>
  </si>
  <si>
    <t>ChildSupportObligationA</t>
  </si>
  <si>
    <t>The monthly child support amount Parent A will pay if the parent is the obligor before final adjustments.</t>
  </si>
  <si>
    <t>ChildSupportObligationB</t>
  </si>
  <si>
    <t>The monthly child support amount Parent B will pay if the parent is the obligor before final adjustments.</t>
  </si>
  <si>
    <t>FinalChildSupportObligationA</t>
  </si>
  <si>
    <t>The monthly child support amount Parent A will pay if the parent is the obligor.</t>
  </si>
  <si>
    <t>FinalChildSupportObligationB</t>
  </si>
  <si>
    <t>The monthly child support amount Parent B will pay if the parent is the obligor.</t>
  </si>
  <si>
    <t>CustodyCountA</t>
  </si>
  <si>
    <t>(REMOVED in 2022) Number of child(ren) of other relationships covered by a Court Order for whom Parent A is the custodial parent.</t>
  </si>
  <si>
    <t>CustodyCountB</t>
  </si>
  <si>
    <t>(REMOVED in 2022) Number of child(ren) of other relationships covered by a Court Order for whom Parent B is the custodial parent.</t>
  </si>
  <si>
    <t>CustodyAdjA</t>
  </si>
  <si>
    <t>(REMOVED in 2022) Custodial adjustment for Parent A</t>
  </si>
  <si>
    <t>CustodyAdjB</t>
  </si>
  <si>
    <t>(REMOVED in 2022) Custodial adjustment for Parent B</t>
  </si>
  <si>
    <t>CustomTaxDeduction</t>
  </si>
  <si>
    <t>Tax exemptions for each parent are determined by the JO rather than standard guidelines.</t>
  </si>
  <si>
    <t>EqualTimeA</t>
  </si>
  <si>
    <t>(REMOVED in 2022) Adjustment for essentially equal time with Parent A.</t>
  </si>
  <si>
    <t>EqualTimeB</t>
  </si>
  <si>
    <t>(REMOVED in 2022) Adjustment for essentially equal time with Parent B.</t>
  </si>
  <si>
    <t>IVD</t>
  </si>
  <si>
    <t>Boolean indicating whether IV-D applies to this case</t>
  </si>
  <si>
    <t>MaxCAGI</t>
  </si>
  <si>
    <t>Maximum combined adjusted gross income</t>
  </si>
  <si>
    <t>MinCAGI</t>
  </si>
  <si>
    <t>Minimum combined adjusted gross income</t>
  </si>
  <si>
    <t>ObligationForOtherChildrenA</t>
  </si>
  <si>
    <t>Amount of deduction for other children supported by Parent A.</t>
  </si>
  <si>
    <t>ObligationForOtherChildrenB</t>
  </si>
  <si>
    <t>Amount of deduction for other children supported by Parent B.</t>
  </si>
  <si>
    <t>Stipulation</t>
  </si>
  <si>
    <t>Boolean indicating whether the parties have agreed and signed</t>
  </si>
  <si>
    <t>Dynamic Text</t>
  </si>
  <si>
    <t>CaseNumber</t>
  </si>
  <si>
    <t>Case number</t>
  </si>
  <si>
    <t>ChildChildren</t>
  </si>
  <si>
    <t>Text variable that dynamically changes the number (i.e., singular or plural) of the word.</t>
  </si>
  <si>
    <t>EmployerFEIN</t>
  </si>
  <si>
    <t>Employer's Federal Employer Identification Number (FEIN)</t>
  </si>
  <si>
    <t>OrderDate</t>
  </si>
  <si>
    <t>Date of the Order.</t>
  </si>
  <si>
    <t>ObligorName</t>
  </si>
  <si>
    <t>Petitioner</t>
  </si>
  <si>
    <t>Petitioner's name</t>
  </si>
  <si>
    <t>PetitionerCaption</t>
  </si>
  <si>
    <t>Petitioner's name in the caption (may be wrapped in () when IV-D applies)</t>
  </si>
  <si>
    <t>PetitionerCaptionPrefix</t>
  </si>
  <si>
    <t>Respondent</t>
  </si>
  <si>
    <t>Respondent's name</t>
  </si>
  <si>
    <t>WorksheetDate</t>
  </si>
  <si>
    <t>Date the Worksheet was prepared. TODAY() is a "volatile" function and this name is used to reduce recalculations and improve performance.</t>
  </si>
  <si>
    <t>WorksheetYear</t>
  </si>
  <si>
    <t>Year the Worksheet was prepared.</t>
  </si>
  <si>
    <t>Lookup tables</t>
  </si>
  <si>
    <t>TblCheckbox</t>
  </si>
  <si>
    <t>x</t>
  </si>
  <si>
    <t xml:space="preserve">(1) </t>
  </si>
  <si>
    <t xml:space="preserve">(2) </t>
  </si>
  <si>
    <t>ATLAS No.</t>
  </si>
  <si>
    <t>ORDER OF ASSIGNMENT</t>
  </si>
  <si>
    <t>A.R.S. § 25-504</t>
  </si>
  <si>
    <t>TO:  CURRENT AND FUTURE EMPLOYERS OR OTHER PAYORS OF THE OBLIGOR:</t>
  </si>
  <si>
    <t>.</t>
  </si>
  <si>
    <r>
      <t xml:space="preserve">(3)    </t>
    </r>
    <r>
      <rPr>
        <b/>
        <sz val="10"/>
        <rFont val="Arial"/>
        <family val="2"/>
      </rPr>
      <t>Name:</t>
    </r>
  </si>
  <si>
    <t xml:space="preserve">SSN:   </t>
  </si>
  <si>
    <t>You shall withhold court-ordered monthly payments as follows:</t>
  </si>
  <si>
    <t>Current Child Support</t>
  </si>
  <si>
    <t>Child Support Arrearages/Interest</t>
  </si>
  <si>
    <t>Current Spousal Maintenance</t>
  </si>
  <si>
    <t>Past Due Spousal Maintenance</t>
  </si>
  <si>
    <t>Cash Medical Support</t>
  </si>
  <si>
    <t>Clearinghouse Handling Fee</t>
  </si>
  <si>
    <t>*</t>
  </si>
  <si>
    <t>Total Amount Per Month</t>
  </si>
  <si>
    <t>**</t>
  </si>
  <si>
    <t>*The $5.00 Handling Fee is subject to statutory change pursuant to A.R.S. §25-510.  ** No more than 50% of the employee's disposable earnings may be taken to satisfy an order issued for support or spousal maintenance.</t>
  </si>
  <si>
    <r>
      <t xml:space="preserve">This </t>
    </r>
    <r>
      <rPr>
        <b/>
        <i/>
        <sz val="10"/>
        <rFont val="Arial"/>
        <family val="2"/>
      </rPr>
      <t>Order of Assignment</t>
    </r>
    <r>
      <rPr>
        <b/>
        <sz val="10"/>
        <rFont val="Arial"/>
        <family val="2"/>
      </rPr>
      <t xml:space="preserve"> </t>
    </r>
    <r>
      <rPr>
        <sz val="10"/>
        <rFont val="Arial"/>
        <family val="2"/>
      </rPr>
      <t xml:space="preserve">modifies any previously dated Orders of Assignment with the same case number as listed in (1).  This </t>
    </r>
    <r>
      <rPr>
        <b/>
        <i/>
        <sz val="10"/>
        <rFont val="Arial"/>
        <family val="2"/>
      </rPr>
      <t>Order of Assignment</t>
    </r>
    <r>
      <rPr>
        <sz val="10"/>
        <rFont val="Arial"/>
        <family val="2"/>
      </rPr>
      <t xml:space="preserve"> is effective immediately upon receipt by an employer or other payor, including self-employed persons, and continues until further order, or until a period of 90 continuous days from the last payment to the obligor (person ordered to make support payments).  If you are again obligated to pay monies to the Obligor within 90 days, you are again bound by this </t>
    </r>
    <r>
      <rPr>
        <b/>
        <sz val="10"/>
        <rFont val="Arial"/>
        <family val="2"/>
      </rPr>
      <t xml:space="preserve">Order of Assignment.  Payments must be sent to the Clearinghouse within two business days after the obligor is paid.                                         </t>
    </r>
  </si>
  <si>
    <t xml:space="preserve">This Order of Assignment terminates on </t>
  </si>
  <si>
    <t>unless it includes an arrearage</t>
  </si>
  <si>
    <t>payment, in which case, the total amount listed above shall continue to be withheld until further order.</t>
  </si>
  <si>
    <t>All payments shall be sent to:</t>
  </si>
  <si>
    <r>
      <t xml:space="preserve">The ATLAS number above in (2) and the employee's name and social security number in (3) </t>
    </r>
    <r>
      <rPr>
        <u/>
        <sz val="10"/>
        <rFont val="Arial"/>
        <family val="2"/>
      </rPr>
      <t>must</t>
    </r>
    <r>
      <rPr>
        <sz val="10"/>
        <rFont val="Arial"/>
        <family val="2"/>
      </rPr>
      <t xml:space="preserve"> appear on the transmittal payment form or check.  You shall not discharge or otherwise discipline the person named in this assignment, because of service of this </t>
    </r>
    <r>
      <rPr>
        <i/>
        <sz val="10"/>
        <rFont val="Arial"/>
        <family val="2"/>
      </rPr>
      <t>Order of Assignment.</t>
    </r>
  </si>
  <si>
    <t>Judicial Officer or Clerk of the Superior Court</t>
  </si>
  <si>
    <t>CURRENT EMPLOYER INFORMATION</t>
  </si>
  <si>
    <t>This form is also available as an interactive form on the Family Support Center Website.</t>
  </si>
  <si>
    <t>http://www.familysupportcenter.maricopa.gov</t>
  </si>
  <si>
    <t>CASE NUMBER:</t>
  </si>
  <si>
    <t>ATLAS NUMBER:</t>
  </si>
  <si>
    <t>PAYOR NAME:</t>
  </si>
  <si>
    <r>
      <t>(</t>
    </r>
    <r>
      <rPr>
        <i/>
        <sz val="9"/>
        <rFont val="Arial"/>
        <family val="2"/>
      </rPr>
      <t>PERSON TO MAKE PAYMENTS</t>
    </r>
    <r>
      <rPr>
        <sz val="9"/>
        <rFont val="Arial"/>
        <family val="2"/>
      </rPr>
      <t>)</t>
    </r>
  </si>
  <si>
    <t>LIST ONLY THE EMPLOYER'S NAME AND PAYROLL ADDRESS WHERE THE ORDER OF ASSIGNMENT OR STOP WILL BE SENT:</t>
  </si>
  <si>
    <t xml:space="preserve">CURRENT EMPLOYER NAME: </t>
  </si>
  <si>
    <t xml:space="preserve">Payroll Mailing Address:   </t>
  </si>
  <si>
    <t xml:space="preserve">City, State zip:   </t>
  </si>
  <si>
    <t>City</t>
  </si>
  <si>
    <t>State</t>
  </si>
  <si>
    <t>Zip</t>
  </si>
  <si>
    <t xml:space="preserve">Employer Telephone No.:  </t>
  </si>
  <si>
    <t xml:space="preserve">Employer FAX No.:  </t>
  </si>
  <si>
    <t>WA/FSC</t>
  </si>
  <si>
    <t>WA/LOG ID:</t>
  </si>
  <si>
    <t>TYPE OF W/A:</t>
  </si>
  <si>
    <t>DATE:</t>
  </si>
  <si>
    <t>AMOUNT TO ORDER:</t>
  </si>
  <si>
    <t>EMPLOYER STATUS:</t>
  </si>
  <si>
    <t>ENTERED BY:</t>
  </si>
  <si>
    <t>NEW W/A:</t>
  </si>
  <si>
    <t>SUB:</t>
  </si>
  <si>
    <t>AG:</t>
  </si>
  <si>
    <t>DCSE:</t>
  </si>
  <si>
    <r>
      <t>Presumptive Father</t>
    </r>
    <r>
      <rPr>
        <b/>
        <sz val="10"/>
        <rFont val="Arial"/>
        <family val="2"/>
      </rPr>
      <t>:</t>
    </r>
  </si>
  <si>
    <t>The presumptive father of the minor child was married to the mother of the child, but the presumption of paternity is rebutted by clear and convincing evidence that establishes that the presumptive father is not the natural father of the child.</t>
  </si>
  <si>
    <t>The presumptive father of the minor children was married to the mother of the children, but the presumption of paternity is rebutted by clear and convincing evidence that establishes that the presumptive father is not the natural father of the children.</t>
  </si>
  <si>
    <t>The presumptive father of the minor child was married to the mother of the child, but he is not the natural father of the minor child.  The presumptive father admits his non-paternity, has waived his rights to contest paternity, and has waived all legal rights he may have to the above-named child.</t>
  </si>
  <si>
    <t>The presumptive father of the minor children was married to the mother of the children, but he is not the natural father of the minor children.  The presumptive father admits his non-paternity, has waived his rights to contest paternity, and has waived all legal rights he may have to the above-named children.</t>
  </si>
  <si>
    <t>The presumptive parent of the minor child was married to the mother of the child, but the presumption is rebutted by clear and convincing evidence that establishes that the presumptive parent is not a natural parent of the child.</t>
  </si>
  <si>
    <t>The presumptive parent of the minor children was married to the mother of the children, but the presumption is rebutted by clear and convincing evidence that establishes that the presumptive parent is not a natural parent of the children.</t>
  </si>
  <si>
    <t>The presumptive parent of the minor child was married to the mother of the child, but is not a natural parent of the minor child.  The presumptive parent admits  non-parentage, has waived all rights to contest parentage, and has waived all legal rights that presumptive parent may have to the above-named child.</t>
  </si>
  <si>
    <t>The presumptive parent of the minor children was married to the mother of the children, but is not a natural parent of the minor children.  The presumptive parent admits non-parentage, has waived all rights to contest parentage, and has waived all legal rights that presumptive parent may have to the above-named children.</t>
  </si>
  <si>
    <t>Legal Decision-Making:</t>
  </si>
  <si>
    <t>Parent A / Parent B (10000) Father / Mother (20000)</t>
  </si>
  <si>
    <t>No legal decision-making Order (1000), Children with Caretaker (2000), Sole legal decision-making (3000), Joint legal decision-making (4000)</t>
  </si>
  <si>
    <t>1 Child (100) or 2+ Children (200)</t>
  </si>
  <si>
    <t>Custodial Mother / Parent B (10) Custodial Father / Parent A (20) Neither One Listed (30)</t>
  </si>
  <si>
    <t>Sum</t>
  </si>
  <si>
    <t>First Line Lookup Factor (+1)</t>
  </si>
  <si>
    <t>Second Line Lookup Factor (+2)</t>
  </si>
  <si>
    <t>Third Line Lookup Factor (Order) (+3)</t>
  </si>
  <si>
    <t>Fourth Line Loopkup Factor (Order) (+4)</t>
  </si>
  <si>
    <t xml:space="preserve">There is no legal decision-making or parenting time order for the minor </t>
  </si>
  <si>
    <t>child[ren] but the minor child[ren] currently reside[s] with obligee.</t>
  </si>
  <si>
    <t>The minor child[ren] currently reside with Obligee.</t>
  </si>
  <si>
    <t>child but the minor child currently resides with obligee.</t>
  </si>
  <si>
    <t>The minor child currently resides with Obligee.</t>
  </si>
  <si>
    <t>children but the minor children currently reside with obligee.</t>
  </si>
  <si>
    <t>The minor children currently reside with Obligee.</t>
  </si>
  <si>
    <t xml:space="preserve">There is no formal legal decision-making or parenting time order in this case, </t>
  </si>
  <si>
    <t>but the minor child has resided with the natural mother for the greater part for the last six months such that mother has legal legal decision-making authority for the minor child pursuant to A.R.S. §25-803 until further court order.  Either parent may file a petition with the court for a formal legal decision-making or parenting time order with respect to the minor child.</t>
  </si>
  <si>
    <t xml:space="preserve">Mother has legal decision-making authority for the child until further court </t>
  </si>
  <si>
    <t>order pursuant to A.R.S. § 25-803.</t>
  </si>
  <si>
    <t>but the minor children have resided with the natural mother for the greater part for the last six months such that mother has legal decision-making authority for the minor children pursuant to A.R.S. §25-803 until further court order.  Either parent may file a petition with the court for a formal legal decision-making or parenting time order with respect to the minor children.</t>
  </si>
  <si>
    <t xml:space="preserve">Mother has legal decision-making authority for the children until further court </t>
  </si>
  <si>
    <t>There is no formal legal decision-making or parenting time order in this case,</t>
  </si>
  <si>
    <t>but the minor child has resided with the natural father for the greater part for the last six months such that father has legal legal decision-making authority for the minor child pursuant to A.R.S. §25-803 until further court order.  Either parent may file a petition with the court for a formal legal decision-making or parenting time order with respect to the minor child.</t>
  </si>
  <si>
    <t xml:space="preserve">Father has legal decision-making authority for the child until further court </t>
  </si>
  <si>
    <t>but the minor children have resided with the natural father for the greater part for the last six months such that father has legal decision-making authority for the minor children pursuant to A.R.S. §25-803 until further court order.  Either parent may file a petition with the court for a formal legal decision-making or parenting time order with respect to the minor children.</t>
  </si>
  <si>
    <t xml:space="preserve">Father has legal decision-making authority for the children until further court </t>
  </si>
  <si>
    <t xml:space="preserve">The minor child currently resides with a non-parent caretaker that is </t>
  </si>
  <si>
    <t>entitled to receive child support for the benefit of the child.</t>
  </si>
  <si>
    <t>The minor child is in the care of a non-parent caretaker.</t>
  </si>
  <si>
    <t xml:space="preserve">The minor children currently reside with a non-parent caretaker that is </t>
  </si>
  <si>
    <t>entitled to receive child support for the benefit of the children.</t>
  </si>
  <si>
    <t>The minor children are in the care of a non-parent caretaker.</t>
  </si>
  <si>
    <t>The minor children currently reside with a non-parent caretaker that is</t>
  </si>
  <si>
    <t xml:space="preserve"> entitled to receive child support for the benefit of the children.</t>
  </si>
  <si>
    <t xml:space="preserve">It is in the best interests of the parties minor child to award sole </t>
  </si>
  <si>
    <t>legal decision-making authority to mother in accordance with the Parenting Plan attached to the Judgment and incorporated herein by reference.</t>
  </si>
  <si>
    <t xml:space="preserve">Mother is awarded sole legal decision-making authority for the minor child </t>
  </si>
  <si>
    <t>in accordance with the Parenting Plan incorporated herein by reference.</t>
  </si>
  <si>
    <t xml:space="preserve">It is in the best interests of the parties minor children to award sole </t>
  </si>
  <si>
    <t xml:space="preserve">Mother is awarded sole legal decision-making authority for the minor children </t>
  </si>
  <si>
    <t>It is in the best interests of the parties minor child to award sole</t>
  </si>
  <si>
    <t xml:space="preserve"> legal decision-making authority to father in accordance with the Parenting Plan attached to the Judgment and incorporated herein by reference.</t>
  </si>
  <si>
    <t xml:space="preserve">Father is awarded sole legal decision-making authority  for the minor child </t>
  </si>
  <si>
    <t>legal decision-making authority to father in accordance with the Parenting Plan attached to the Judgment and incorporated herein by reference.</t>
  </si>
  <si>
    <t xml:space="preserve">Father is awarded sole legal decision-making authority  for the minor children </t>
  </si>
  <si>
    <t xml:space="preserve">It is in the best interests of the parties minor child to award joint legal </t>
  </si>
  <si>
    <t>decision-making authority for the child to both parents in accordance with the Parenting Plan attached to the Judgment and incorporated herein by reference.</t>
  </si>
  <si>
    <t xml:space="preserve">Both parents are awarded joint legal legal decision-making authority for  </t>
  </si>
  <si>
    <t>the child in accordance with the Parenting Plan incorporated herein by reference.</t>
  </si>
  <si>
    <t xml:space="preserve">It is in the best interests for the parties minor child to award joint legal </t>
  </si>
  <si>
    <t xml:space="preserve">Both parents are awarded joint legal legal decision-making authority for </t>
  </si>
  <si>
    <t xml:space="preserve">It is in the best interests for the parties minor children to award joint legal </t>
  </si>
  <si>
    <t>decision-making authority for the children to both parents in accordance with the Parenting Plan attached to the Judgment and incorporated herein by reference.</t>
  </si>
  <si>
    <t>the children in accordance with the Parenting Plan incorporated herein by reference.</t>
  </si>
  <si>
    <t>but the minor child has resided with the Parent B for the greater part for the last six months such that Parent B has legal decision-making authority for the minor child pursuant to A.R.S. §25-803 until further court order.  Either parent may file a petition with the court for a formal legal decision-making or parenting time order with respect to the minor child.</t>
  </si>
  <si>
    <t xml:space="preserve">Parent A has legal decision-making authority for the child until further court </t>
  </si>
  <si>
    <t>but the minor children have resided with the Parent B for the greater part for the last six months such that Parent B has legal decision-making authority for the minor children pursuant to A.R.S. §25-803 until further court order.  Either parent may file a petition with the court for a formal legal decision-making or parenting time order with respect to the minor children.</t>
  </si>
  <si>
    <t xml:space="preserve">Parent B has legal decision-making authority for the children until further court </t>
  </si>
  <si>
    <t>but the minor child has resided with the Parent A for the greater part for the last six months such that Parent A has legal legal decision-making authority for the minor child pursuant to A.R.S. §25-803 until further court order.  Either parent may file a petition with the court for a formal legal decision-making or parenting time order with respect to the minor child.</t>
  </si>
  <si>
    <t>but the minor children have resided with the Parent A for the greater part for the last six months such that Parent A has legal decision-making authority for the minor children pursuant to A.R.S. §25-803 until further court order.  Either parent may file a petition with the court for a formal legal decision-making or parenting time order with respect to the minor children.</t>
  </si>
  <si>
    <t xml:space="preserve">Parent A has legal decision-making authority for the children until further court </t>
  </si>
  <si>
    <t xml:space="preserve">Parent B is awarded sole legal decision-making authority for the minor child </t>
  </si>
  <si>
    <t xml:space="preserve">Parent B is awarded sole legal decision-making authority for the minor children </t>
  </si>
  <si>
    <t xml:space="preserve">Parent A is awarded sole legal decision-making authority  for the minor child </t>
  </si>
  <si>
    <t xml:space="preserve">Parent A is awarded sole legal decision-making authority  for the minor children </t>
  </si>
  <si>
    <r>
      <t>Birth Certifiicate Father</t>
    </r>
    <r>
      <rPr>
        <b/>
        <sz val="10"/>
        <rFont val="Arial"/>
        <family val="2"/>
      </rPr>
      <t>:</t>
    </r>
  </si>
  <si>
    <t>1 Child</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</si>
  <si>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father established herein as the father of the child on the birth certificate.</t>
  </si>
  <si>
    <t>2+Children</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</si>
  <si>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father established herein as the father of each child on the birth certificate.</t>
  </si>
  <si>
    <t>Default</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</si>
  <si>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father established herein as the father of each child on the birth certificate.</t>
  </si>
  <si>
    <t>Birth Certifiicate Mother:</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</si>
  <si>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Mother established herein as the mother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</si>
  <si>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Mother established herein as the mother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</si>
  <si>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Mother established herein as the mother of each child on the birth certificate.</t>
  </si>
  <si>
    <t>Birth Certificate Gender Neutral</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</si>
  <si>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parent established herein as a parent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</si>
  <si>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parent established herein as a parent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</si>
  <si>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parent established herein as a parent of each child on the birth certificate.</t>
  </si>
  <si>
    <t>Birth Certificate Multiple Parents</t>
  </si>
  <si>
    <t>If the above-named child was born in the State of Arizona, the Clerk of this Court shall send a copy of this Judgment and Order to the Office of Vital Records, Department of Health Services, which shall establish, pursuant to A.R.S. §36-323, a new birth certificate for the child to include the parents established herein as the parents of the child on the birth certificate.</t>
  </si>
  <si>
    <t>For the above-named children born in the State of Arizona, the Clerk of this Court shall send a copy of this Judgment and Order to the Office of Vital Records, Department of Health Services, which shall establish, pursuant to A.R.S. §36-323, new birth certificates for the children to include the parents established herein as the parents of each child on the birth certificate.</t>
  </si>
  <si>
    <t>For the above-named child(ren) born in the State of Arizona, the Clerk of this Court shall send a copy of this Judgment and Order to the Office of Vital Records, Department of Health Services, which shall establish, pursuant to A.R.S. §36-323, (a) new birth certificate(s) for the child(ren) to include the parents established herein as the parents of each child on the birth certificate.</t>
  </si>
  <si>
    <t>Support Order</t>
  </si>
  <si>
    <t>Rule 78(b)</t>
  </si>
  <si>
    <r>
      <t xml:space="preserve">Pursuant to Rule 78(b) of the Arizona Rules of Family Law Procedure, there is no just reason for delay in having this child support order deemed a final judgment as to the issues addressed herein.  </t>
    </r>
    <r>
      <rPr>
        <b/>
        <sz val="10"/>
        <rFont val="Arial"/>
        <family val="2"/>
      </rPr>
      <t>IT IS THEREFORE ORDERED</t>
    </r>
    <r>
      <rPr>
        <sz val="10"/>
        <rFont val="Arial"/>
        <family val="2"/>
      </rPr>
      <t xml:space="preserve"> that this order is appealable under Rule 78(b), ARFLP, for the purposes of an appeal taken in accordance with Rules 8 and 9, Arizona Rules of Civil Appellate Procedure.</t>
    </r>
  </si>
  <si>
    <t>Rule 78(c)</t>
  </si>
  <si>
    <r>
      <t xml:space="preserve">There are no further matters that remain pending before the court.  </t>
    </r>
    <r>
      <rPr>
        <b/>
        <sz val="10"/>
        <rFont val="Arial"/>
        <family val="2"/>
      </rPr>
      <t>IT IS THEREFORE ORDERED</t>
    </r>
    <r>
      <rPr>
        <sz val="10"/>
        <rFont val="Arial"/>
        <family val="2"/>
      </rPr>
      <t xml:space="preserve"> that this is a final judgment under Rule 78(c), Arizona Rules of Family Law Procedure, for the purpose of an appeal taken in accordance with Rules 8 and 9, Arizona Rules of Civil Appellate Procedure.</t>
    </r>
  </si>
  <si>
    <t>Post-decree</t>
  </si>
  <si>
    <t>Because this order relates to a post-decree matter, Rules 78(b) and (c) of the Arizona Rules of Family Law Procedure do not apply.</t>
  </si>
  <si>
    <t>Presumptive Child Support Termination Date</t>
  </si>
  <si>
    <t>Child Born</t>
  </si>
  <si>
    <t>Presumptive Termination Date Is:</t>
  </si>
  <si>
    <t>From</t>
  </si>
  <si>
    <t>Thru</t>
  </si>
  <si>
    <t>May 31 in 18th Year After Year of Birth</t>
  </si>
  <si>
    <t>Last Day of Birth Month in 18th Year After Year of Birth</t>
  </si>
  <si>
    <t>May 31 in 19th Year After Year of Birth</t>
  </si>
  <si>
    <t>Usual Presumptive</t>
  </si>
  <si>
    <r>
      <t xml:space="preserve">PTD If Child </t>
    </r>
    <r>
      <rPr>
        <b/>
        <sz val="10"/>
        <rFont val="Arial"/>
        <family val="2"/>
      </rPr>
      <t xml:space="preserve">1 </t>
    </r>
  </si>
  <si>
    <r>
      <t>PTD If Child Is</t>
    </r>
    <r>
      <rPr>
        <b/>
        <sz val="10"/>
        <rFont val="Arial"/>
        <family val="2"/>
      </rPr>
      <t xml:space="preserve"> 2 or</t>
    </r>
  </si>
  <si>
    <r>
      <t xml:space="preserve">PTD If Child Is </t>
    </r>
    <r>
      <rPr>
        <b/>
        <sz val="10"/>
        <rFont val="Arial"/>
        <family val="2"/>
      </rPr>
      <t>1 or</t>
    </r>
  </si>
  <si>
    <t>Month of</t>
  </si>
  <si>
    <t>Termination Date</t>
  </si>
  <si>
    <t>Year Behind</t>
  </si>
  <si>
    <t>More Years Behind</t>
  </si>
  <si>
    <t>More Years Ahead</t>
  </si>
  <si>
    <t>Birth</t>
  </si>
  <si>
    <t>Month</t>
  </si>
  <si>
    <t>YOB+</t>
  </si>
  <si>
    <t>May 31,</t>
  </si>
  <si>
    <t>PTD For 9-1:</t>
  </si>
  <si>
    <t>Chart For Grade Progression To Normal Presumptive Termination Date</t>
  </si>
  <si>
    <t>Youngest Child's Birthday:</t>
  </si>
  <si>
    <t>Grade Child Ends In May</t>
  </si>
  <si>
    <t>Next Grade Child Starts In</t>
  </si>
  <si>
    <t>Age on</t>
  </si>
  <si>
    <t>(Grade for</t>
  </si>
  <si>
    <t>Sept. (Grade for June, July</t>
  </si>
  <si>
    <t>Year</t>
  </si>
  <si>
    <t>Birthday</t>
  </si>
  <si>
    <t>Jan., Feb., Mar., Apr., May)</t>
  </si>
  <si>
    <t>Aug., Sept., Oct., Nov., Dec.</t>
  </si>
  <si>
    <t>Grad</t>
  </si>
  <si>
    <t>Tax Deduction Table</t>
  </si>
  <si>
    <r>
      <t xml:space="preserve">Enter </t>
    </r>
    <r>
      <rPr>
        <b/>
        <sz val="10"/>
        <rFont val="Arial"/>
        <family val="2"/>
      </rPr>
      <t>Father's</t>
    </r>
    <r>
      <rPr>
        <sz val="10"/>
        <rFont val="Arial"/>
        <family val="2"/>
      </rPr>
      <t xml:space="preserve"> Fractional Share of Income, Or Enter "2" To Customize Tax Allocation Below:</t>
    </r>
  </si>
  <si>
    <t>Alternate Lookup Factor</t>
  </si>
  <si>
    <t>Calculated Lookup Factor</t>
  </si>
  <si>
    <t>Income Greater Than</t>
  </si>
  <si>
    <t>Less Than or Equal To</t>
  </si>
  <si>
    <t>Lookup Factor</t>
  </si>
  <si>
    <t>Fraction</t>
  </si>
  <si>
    <t>Father's % of Income From Above:</t>
  </si>
  <si>
    <t>Number of Children:</t>
  </si>
  <si>
    <t>Father's Actual % of Income:</t>
  </si>
  <si>
    <t>Calculated Lookup Factor:</t>
  </si>
  <si>
    <t>Judicial Lookup Factor:</t>
  </si>
  <si>
    <t>Lookup Factor:</t>
  </si>
  <si>
    <t>Age of Child</t>
  </si>
  <si>
    <t>Parent Entitled To Deduction Per Schedule</t>
  </si>
  <si>
    <t>VLOOKUP column (for calculations)</t>
  </si>
  <si>
    <t>Row</t>
  </si>
  <si>
    <t>Customized Tax Allocation Table</t>
  </si>
  <si>
    <t>Nearest 1 Digit Fraction</t>
  </si>
  <si>
    <t>Father's Percent Income</t>
  </si>
  <si>
    <t>Range</t>
  </si>
  <si>
    <t>No. of Children, Child No.  .Fraction</t>
  </si>
  <si>
    <t>No. of Ded.</t>
  </si>
  <si>
    <t>Father's # (x %)</t>
  </si>
  <si>
    <t>Mother's #</t>
  </si>
  <si>
    <t>.9 to 1.0</t>
  </si>
  <si>
    <t>Child 1</t>
  </si>
  <si>
    <t>Father</t>
  </si>
  <si>
    <t>Child 2</t>
  </si>
  <si>
    <t>Child 3</t>
  </si>
  <si>
    <t>Child 4</t>
  </si>
  <si>
    <t>Child 5</t>
  </si>
  <si>
    <t>Child 6</t>
  </si>
  <si>
    <t>.775 to .9</t>
  </si>
  <si>
    <t>Mother</t>
  </si>
  <si>
    <t>.7083 to .775</t>
  </si>
  <si>
    <t>.6333 to .7083</t>
  </si>
  <si>
    <t>.55 to .6333</t>
  </si>
  <si>
    <t>.45 to .55</t>
  </si>
  <si>
    <t>.3666 to .45</t>
  </si>
  <si>
    <t>.2916 to .3666</t>
  </si>
  <si>
    <t>.225 to .2916</t>
  </si>
  <si>
    <t>.1 to .225</t>
  </si>
  <si>
    <t>0/1</t>
  </si>
  <si>
    <t>0 to .1</t>
  </si>
  <si>
    <r>
      <t xml:space="preserve">Enter </t>
    </r>
    <r>
      <rPr>
        <b/>
        <sz val="10"/>
        <rFont val="Arial"/>
        <family val="2"/>
      </rPr>
      <t>Parent A's</t>
    </r>
    <r>
      <rPr>
        <sz val="10"/>
        <rFont val="Arial"/>
        <family val="2"/>
      </rPr>
      <t xml:space="preserve"> Fractional Share of Income, Or Enter "2" To Customize Tax Allocation Below:</t>
    </r>
  </si>
  <si>
    <t>Parent A's % of Income From Above:</t>
  </si>
  <si>
    <t>Parent A's Actual % of Income:</t>
  </si>
  <si>
    <t>Parent A's Percent Income</t>
  </si>
  <si>
    <t>Parent A's # (x %)</t>
  </si>
  <si>
    <t>Parent B's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</si>
</sst>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0"/>
    <numFmt numFmtId="166" formatCode="0.0000"/>
    <numFmt numFmtId="167" formatCode="\(0.00\)"/>
    <numFmt numFmtId="168" formatCode="mmmm\ d\,\ yyyy"/>
    <numFmt numFmtId="169" formatCode="mmmm\ d"/>
    <numFmt numFmtId="170" formatCode="mmmm\ d\,"/>
    <numFmt numFmtId="171" formatCode="mmmm\,\ yyyy"/>
    <numFmt numFmtId="172" formatCode="mmmm\,\ yyyy\."/>
    <numFmt numFmtId="173" formatCode="mmmm\ d\,\ yyyy\."/>
    <numFmt numFmtId="174" formatCode="mmmm\ d\,\ yyyy\,"/>
    <numFmt numFmtId="175" formatCode="&quot;$&quot;#,##0.00."/>
    <numFmt numFmtId="176" formatCode="#\ ?/2"/>
    <numFmt numFmtId="177" formatCode="m/d"/>
    <numFmt numFmtId="178" formatCode="000\-00\-0000"/>
    <numFmt numFmtId="179" formatCode="m\-d\-yy"/>
    <numFmt numFmtId="180" formatCode="mmmm\ &quot;1&quot;\,\ yyyy"/>
    <numFmt numFmtId="181" formatCode="[&lt;=9999999]###\-####;\(###\)\ ###\-####"/>
    <numFmt numFmtId="182" formatCode="."/>
    <numFmt numFmtId="183" formatCode="mmmm\ &quot;1&quot;\,\ yyyy\,"/>
    <numFmt numFmtId="184" formatCode="General_)"/>
    <numFmt numFmtId="185" formatCode="&quot;$&quot;\ \ #,##0.00;_(&quot;$&quot;* \(#,##0.00\);_(&quot;$&quot;* &quot;-&quot;??_);_(@_)"/>
    <numFmt numFmtId="186" formatCode="&quot;$&quot;\ \ #,##0.00_);\(&quot;$&quot;#,##0.00\)"/>
    <numFmt numFmtId="187" formatCode="&quot;$&quot;\ #,##0.00_);\(&quot;$&quot;#,##0.00\)"/>
    <numFmt numFmtId="188" formatCode="[$-409]mmmm\ d\,\ yyyy;@"/>
    <numFmt numFmtId="189" formatCode="&quot;$&quot;\ \ #,##0.00"/>
    <numFmt numFmtId="190" formatCode="mmmm"/>
    <numFmt numFmtId="191" formatCode="0.0\ %"/>
    <numFmt numFmtId="192" formatCode="0_)"/>
    <numFmt numFmtId="193" formatCode="0.00_)"/>
    <numFmt numFmtId="194" formatCode="&quot;$&quot;#,##0.00"/>
    <numFmt numFmtId="195" formatCode="mm/dd/yyyy"/>
    <numFmt numFmtId="196" formatCode="_(* #,##0.00_);_(* \(#,##0.00\);_(* 0.00_);_(@_)"/>
    <numFmt numFmtId="197" formatCode="0;0;"/>
  </numFmts>
  <fonts count="86" x14ac:knownFonts="1">
    <font>
      <sz val="10"/>
      <name val="Arial"/>
    </font>
    <font>
      <sz val="10"/>
      <name val="Arial"/>
      <family val="2"/>
    </font>
    <font>
      <b/>
      <sz val="10"/>
      <name val="Arial"/>
      <family val="2"/>
    </font>
    <font>
      <b/>
      <sz val="14"/>
      <name val="Arial"/>
      <family val="2"/>
    </font>
    <font>
      <sz val="10"/>
      <name val="Arial"/>
      <family val="2"/>
    </font>
    <font>
      <b/>
      <sz val="12"/>
      <name val="Arial"/>
      <family val="2"/>
    </font>
    <font>
      <sz val="8"/>
      <name val="Arial"/>
      <family val="2"/>
    </font>
    <font>
      <sz val="7"/>
      <name val="Arial"/>
      <family val="2"/>
    </font>
    <font>
      <sz val="9"/>
      <name val="Arial"/>
      <family val="2"/>
    </font>
    <font>
      <b/>
      <sz val="8"/>
      <name val="Arial"/>
      <family val="2"/>
    </font>
    <font>
      <b/>
      <u/>
      <sz val="10"/>
      <name val="Arial"/>
      <family val="2"/>
    </font>
    <font>
      <b/>
      <sz val="9"/>
      <name val="Arial"/>
      <family val="2"/>
    </font>
    <font>
      <sz val="12"/>
      <name val="Arial"/>
      <family val="2"/>
    </font>
    <font>
      <sz val="10"/>
      <color indexed="9"/>
      <name val="Arial"/>
      <family val="2"/>
    </font>
    <font>
      <b/>
      <sz val="10"/>
      <color indexed="10"/>
      <name val="Arial"/>
      <family val="2"/>
    </font>
    <font>
      <sz val="10"/>
      <color indexed="10"/>
      <name val="Arial"/>
      <family val="2"/>
    </font>
    <font>
      <sz val="8.5"/>
      <name val="Arial"/>
      <family val="2"/>
    </font>
    <font>
      <sz val="9.5"/>
      <name val="Arial"/>
      <family val="2"/>
    </font>
    <font>
      <sz val="9"/>
      <color indexed="9"/>
      <name val="Arial"/>
      <family val="2"/>
    </font>
    <font>
      <b/>
      <sz val="11"/>
      <name val="Arial"/>
      <family val="2"/>
    </font>
    <font>
      <b/>
      <i/>
      <sz val="10"/>
      <name val="Arial"/>
      <family val="2"/>
    </font>
    <font>
      <i/>
      <sz val="10"/>
      <name val="Arial"/>
      <family val="2"/>
    </font>
    <font>
      <u/>
      <sz val="10"/>
      <name val="Arial"/>
      <family val="2"/>
    </font>
    <font>
      <sz val="6"/>
      <name val="Arial"/>
      <family val="2"/>
    </font>
    <font>
      <sz val="8"/>
      <color indexed="9"/>
      <name val="Arial"/>
      <family val="2"/>
    </font>
    <font>
      <sz val="14"/>
      <name val="Arial"/>
      <family val="2"/>
    </font>
    <font>
      <u/>
      <sz val="10"/>
      <color indexed="12"/>
      <name val="Arial"/>
      <family val="2"/>
    </font>
    <font>
      <i/>
      <sz val="9"/>
      <name val="Arial"/>
      <family val="2"/>
    </font>
    <font>
      <b/>
      <sz val="10"/>
      <color indexed="8"/>
      <name val="Arial"/>
      <family val="2"/>
    </font>
    <font>
      <sz val="11"/>
      <name val="Arial"/>
      <family val="2"/>
    </font>
    <font>
      <b/>
      <u/>
      <sz val="12"/>
      <name val="Arial"/>
      <family val="2"/>
    </font>
    <font>
      <b/>
      <u val="singleAccounting"/>
      <sz val="10"/>
      <name val="Arial"/>
      <family val="2"/>
    </font>
    <font>
      <u val="singleAccounting"/>
      <sz val="10"/>
      <name val="Arial"/>
      <family val="2"/>
    </font>
    <font>
      <b/>
      <sz val="11"/>
      <color indexed="9"/>
      <name val="Arial"/>
      <family val="2"/>
    </font>
    <font>
      <sz val="26"/>
      <color indexed="10"/>
      <name val="Arial"/>
      <family val="2"/>
    </font>
    <font>
      <b/>
      <sz val="12"/>
      <color indexed="10"/>
      <name val="Arial"/>
      <family val="2"/>
    </font>
    <font>
      <b/>
      <sz val="26"/>
      <color indexed="10"/>
      <name val="Arial"/>
      <family val="2"/>
    </font>
    <font>
      <sz val="10"/>
      <name val="Helv"/>
    </font>
    <font>
      <b/>
      <sz val="16"/>
      <name val="Agency FB"/>
      <family val="2"/>
    </font>
    <font>
      <b/>
      <sz val="11"/>
      <name val="Agency FB"/>
      <family val="2"/>
    </font>
    <font>
      <b/>
      <sz val="10"/>
      <name val="Agency FB"/>
      <family val="2"/>
    </font>
    <font>
      <b/>
      <sz val="14"/>
      <name val="Agency FB"/>
      <family val="2"/>
    </font>
    <font>
      <sz val="10"/>
      <color theme="0"/>
      <name val="Arial"/>
      <family val="2"/>
    </font>
    <font>
      <sz val="10"/>
      <color rgb="FFFF0000"/>
      <name val="Arial"/>
      <family val="2"/>
    </font>
    <font>
      <b/>
      <sz val="10"/>
      <color rgb="FFFF0000"/>
      <name val="Arial"/>
      <family val="2"/>
    </font>
    <font>
      <b/>
      <sz val="20"/>
      <color indexed="10"/>
      <name val="Arial"/>
      <family val="2"/>
    </font>
    <font>
      <sz val="20"/>
      <name val="Arial"/>
      <family val="2"/>
    </font>
    <font>
      <b/>
      <sz val="10"/>
      <color theme="0"/>
      <name val="Arial"/>
      <family val="2"/>
    </font>
    <font>
      <sz val="9"/>
      <color theme="1" tint="0.249977111117893"/>
      <name val="Arial"/>
      <family val="2"/>
    </font>
    <font>
      <b/>
      <sz val="8"/>
      <color theme="0"/>
      <name val="Arial"/>
      <family val="2"/>
    </font>
    <font>
      <b/>
      <sz val="10"/>
      <name val="Arial Narrow"/>
      <family val="2"/>
    </font>
    <font>
      <sz val="10"/>
      <name val="Arial Narrow"/>
      <family val="2"/>
    </font>
    <font>
      <sz val="9"/>
      <name val="Arial Narrow"/>
      <family val="2"/>
    </font>
    <font>
      <i/>
      <u/>
      <sz val="10"/>
      <name val="Arial"/>
      <family val="2"/>
    </font>
    <font>
      <b/>
      <u/>
      <sz val="10"/>
      <color indexed="12"/>
      <name val="Arial"/>
      <family val="2"/>
    </font>
    <font>
      <sz val="7"/>
      <color theme="0"/>
      <name val="Arial"/>
      <family val="2"/>
    </font>
    <font>
      <sz val="10"/>
      <name val="Courier"/>
      <family val="3"/>
    </font>
    <font>
      <sz val="10"/>
      <color rgb="FF000000"/>
      <name val="Times New Roman"/>
      <family val="1"/>
    </font>
    <font>
      <b/>
      <sz val="14"/>
      <name val="Helv"/>
    </font>
    <font>
      <b/>
      <sz val="12"/>
      <name val="Agency FB"/>
      <family val="2"/>
    </font>
    <font>
      <b/>
      <sz val="12"/>
      <name val="Arial Narrow"/>
      <family val="2"/>
    </font>
    <font>
      <sz val="12"/>
      <name val="Arial Narrow"/>
      <family val="2"/>
    </font>
    <font>
      <b/>
      <sz val="11"/>
      <name val="Arial Narrow"/>
      <family val="2"/>
    </font>
    <font>
      <sz val="11"/>
      <name val="Arial Narrow"/>
      <family val="2"/>
    </font>
    <font>
      <sz val="10.5"/>
      <name val="Arial Narrow"/>
      <family val="2"/>
    </font>
    <font>
      <b/>
      <sz val="10.5"/>
      <name val="Arial Narrow"/>
      <family val="2"/>
    </font>
    <font>
      <b/>
      <u/>
      <sz val="10.5"/>
      <name val="Arial Narrow"/>
      <family val="2"/>
    </font>
    <font>
      <b/>
      <sz val="10.5"/>
      <color rgb="FFFF0000"/>
      <name val="Arial Narrow"/>
      <family val="2"/>
    </font>
    <font>
      <u/>
      <sz val="10.5"/>
      <name val="Arial Narrow"/>
      <family val="2"/>
    </font>
    <font>
      <i/>
      <sz val="10.5"/>
      <name val="Arial Narrow"/>
      <family val="2"/>
    </font>
    <font>
      <b/>
      <sz val="9"/>
      <name val="Arial Narrow"/>
      <family val="2"/>
    </font>
    <font>
      <b/>
      <sz val="9"/>
      <color indexed="81"/>
      <name val="Tahoma"/>
      <family val="2"/>
    </font>
    <font>
      <sz val="10"/>
      <color theme="1" tint="0.34998626667073579"/>
      <name val="Arial"/>
      <family val="2"/>
    </font>
    <font>
      <i/>
      <sz val="11"/>
      <color rgb="FF7F7F7F"/>
      <name val="Calibri"/>
      <family val="2"/>
      <scheme val="minor"/>
    </font>
    <font>
      <b/>
      <sz val="11"/>
      <color rgb="FFFF0000"/>
      <name val="Arial"/>
      <family val="2"/>
    </font>
    <font>
      <i/>
      <sz val="11"/>
      <color theme="1" tint="0.499984740745262"/>
      <name val="Calibri"/>
      <family val="2"/>
      <scheme val="minor"/>
    </font>
    <font>
      <sz val="8"/>
      <name val="Arial Narrow"/>
      <family val="2"/>
    </font>
    <font>
      <u/>
      <sz val="11"/>
      <name val="Arial Narrow"/>
      <family val="2"/>
    </font>
    <font>
      <u/>
      <sz val="11"/>
      <name val="Arial"/>
      <family val="2"/>
    </font>
    <font>
      <u/>
      <sz val="10"/>
      <name val="Arial Narrow"/>
      <family val="2"/>
    </font>
    <font>
      <b/>
      <sz val="13"/>
      <color theme="3"/>
      <name val="Calibri"/>
      <family val="2"/>
      <scheme val="minor"/>
    </font>
    <font>
      <sz val="8"/>
      <color rgb="FF99CCFF"/>
      <name val="Arial"/>
      <family val="2"/>
    </font>
    <font>
      <b/>
      <sz val="9"/>
      <color indexed="81"/>
      <name val="Tahoma"/>
      <charset val="1"/>
    </font>
    <font>
      <sz val="9.5"/>
      <name val="Arial Narrow"/>
      <family val="2"/>
    </font>
    <font>
      <sz val="9"/>
      <color indexed="81"/>
      <name val="Tahoma"/>
      <family val="2"/>
    </font>
    <font>
      <b/>
      <sz val="7"/>
      <name val="Arial"/>
      <family val="2"/>
    </font>
  </fonts>
  <fills count="13">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9"/>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99FF99"/>
        <bgColor indexed="64"/>
      </patternFill>
    </fill>
    <fill>
      <patternFill patternType="solid">
        <fgColor theme="0" tint="-0.24994659260841701"/>
        <bgColor indexed="64"/>
      </patternFill>
    </fill>
    <fill>
      <patternFill patternType="solid">
        <fgColor theme="2"/>
        <bgColor indexed="64"/>
      </patternFill>
    </fill>
    <fill>
      <patternFill patternType="solid">
        <fgColor theme="0" tint="-0.14999847407452621"/>
        <bgColor indexed="64"/>
      </patternFill>
    </fill>
  </fills>
  <borders count="91">
    <border>
      <left/>
      <right/>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style="hair">
        <color auto="1"/>
      </right>
      <top style="thin">
        <color indexed="64"/>
      </top>
      <bottom style="hair">
        <color indexed="64"/>
      </bottom>
      <diagonal/>
    </border>
    <border>
      <left style="thin">
        <color indexed="64"/>
      </left>
      <right style="hair">
        <color auto="1"/>
      </right>
      <top style="hair">
        <color indexed="64"/>
      </top>
      <bottom style="hair">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hair">
        <color auto="1"/>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auto="1"/>
      </right>
      <top style="hair">
        <color indexed="64"/>
      </top>
      <bottom/>
      <diagonal/>
    </border>
    <border>
      <left/>
      <right style="thin">
        <color auto="1"/>
      </right>
      <top style="hair">
        <color auto="1"/>
      </top>
      <bottom/>
      <diagonal/>
    </border>
    <border>
      <left style="hair">
        <color indexed="64"/>
      </left>
      <right style="thin">
        <color auto="1"/>
      </right>
      <top style="thin">
        <color auto="1"/>
      </top>
      <bottom style="hair">
        <color auto="1"/>
      </bottom>
      <diagonal/>
    </border>
    <border>
      <left style="hair">
        <color indexed="64"/>
      </left>
      <right style="thin">
        <color auto="1"/>
      </right>
      <top style="hair">
        <color auto="1"/>
      </top>
      <bottom style="thin">
        <color auto="1"/>
      </bottom>
      <diagonal/>
    </border>
    <border>
      <left style="hair">
        <color indexed="64"/>
      </left>
      <right/>
      <top/>
      <bottom/>
      <diagonal/>
    </border>
    <border>
      <left style="hair">
        <color indexed="64"/>
      </left>
      <right style="thin">
        <color auto="1"/>
      </right>
      <top style="hair">
        <color auto="1"/>
      </top>
      <bottom style="hair">
        <color auto="1"/>
      </bottom>
      <diagonal/>
    </border>
    <border>
      <left style="hair">
        <color indexed="64"/>
      </left>
      <right style="thin">
        <color auto="1"/>
      </right>
      <top style="hair">
        <color auto="1"/>
      </top>
      <bottom/>
      <diagonal/>
    </border>
    <border>
      <left style="hair">
        <color indexed="64"/>
      </left>
      <right style="thin">
        <color auto="1"/>
      </right>
      <top/>
      <bottom style="hair">
        <color auto="1"/>
      </bottom>
      <diagonal/>
    </border>
    <border>
      <left/>
      <right style="thin">
        <color auto="1"/>
      </right>
      <top/>
      <bottom style="hair">
        <color auto="1"/>
      </bottom>
      <diagonal/>
    </border>
    <border>
      <left style="medium">
        <color theme="0" tint="-0.14996795556505021"/>
      </left>
      <right style="medium">
        <color theme="0" tint="-0.14996795556505021"/>
      </right>
      <top style="medium">
        <color indexed="64"/>
      </top>
      <bottom style="medium">
        <color indexed="64"/>
      </bottom>
      <diagonal/>
    </border>
    <border>
      <left style="medium">
        <color theme="0" tint="-0.14996795556505021"/>
      </left>
      <right/>
      <top style="medium">
        <color indexed="64"/>
      </top>
      <bottom style="medium">
        <color indexed="64"/>
      </bottom>
      <diagonal/>
    </border>
    <border>
      <left/>
      <right style="medium">
        <color theme="0" tint="-0.14996795556505021"/>
      </right>
      <top style="medium">
        <color indexed="64"/>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top/>
      <bottom style="thick">
        <color rgb="FF0070C0"/>
      </bottom>
      <diagonal/>
    </border>
    <border>
      <left/>
      <right/>
      <top style="thick">
        <color rgb="FF0070C0"/>
      </top>
      <bottom style="thick">
        <color rgb="FF0070C0"/>
      </bottom>
      <diagonal/>
    </border>
    <border>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right style="thin">
        <color indexed="64"/>
      </right>
      <top style="thick">
        <color rgb="FF0070C0"/>
      </top>
      <bottom style="thick">
        <color rgb="FF0070C0"/>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alignment vertical="top"/>
      <protection locked="0"/>
    </xf>
    <xf numFmtId="184" fontId="37" fillId="0" borderId="0"/>
    <xf numFmtId="0" fontId="1" fillId="0" borderId="0"/>
    <xf numFmtId="9" fontId="1" fillId="0" borderId="0" applyFont="0" applyFill="0" applyBorder="0" applyAlignment="0" applyProtection="0"/>
    <xf numFmtId="0" fontId="1" fillId="0" borderId="0"/>
    <xf numFmtId="193" fontId="56" fillId="0" borderId="0"/>
    <xf numFmtId="184" fontId="37" fillId="0" borderId="0"/>
    <xf numFmtId="0" fontId="1" fillId="0" borderId="0"/>
    <xf numFmtId="0" fontId="57" fillId="0" borderId="0"/>
    <xf numFmtId="0" fontId="73" fillId="0" borderId="0" applyNumberFormat="0" applyFill="0" applyBorder="0" applyAlignment="0" applyProtection="0"/>
    <xf numFmtId="0" fontId="80" fillId="0" borderId="83" applyNumberFormat="0" applyFill="0" applyAlignment="0" applyProtection="0"/>
  </cellStyleXfs>
  <cellXfs count="1931">
    <xf numFmtId="0" fontId="0" fillId="0" borderId="0" xfId="0"/>
    <xf numFmtId="0" fontId="2" fillId="0" borderId="0" xfId="0" applyFont="1" applyAlignment="1">
      <alignment horizontal="center" vertical="center"/>
    </xf>
    <xf numFmtId="0" fontId="4" fillId="0" borderId="0" xfId="0" applyFont="1" applyAlignment="1">
      <alignment horizontal="center"/>
    </xf>
    <xf numFmtId="1" fontId="4" fillId="0" borderId="0" xfId="0" applyNumberFormat="1" applyFont="1" applyAlignment="1">
      <alignment horizontal="center"/>
    </xf>
    <xf numFmtId="165" fontId="4" fillId="0" borderId="0" xfId="0" applyNumberFormat="1" applyFont="1" applyAlignment="1">
      <alignment horizontal="center"/>
    </xf>
    <xf numFmtId="0" fontId="4" fillId="0" borderId="0" xfId="0" applyFont="1" applyFill="1" applyProtection="1">
      <protection hidden="1"/>
    </xf>
    <xf numFmtId="0" fontId="6" fillId="0" borderId="0" xfId="0" applyFont="1" applyFill="1" applyProtection="1">
      <protection hidden="1"/>
    </xf>
    <xf numFmtId="0" fontId="8" fillId="2" borderId="0" xfId="0" applyFont="1" applyFill="1" applyAlignment="1" applyProtection="1">
      <alignment horizontal="left"/>
      <protection hidden="1"/>
    </xf>
    <xf numFmtId="0" fontId="0" fillId="0" borderId="0" xfId="0" applyAlignment="1"/>
    <xf numFmtId="0" fontId="0" fillId="0" borderId="0" xfId="0" applyAlignment="1" applyProtection="1">
      <alignment horizontal="center"/>
      <protection hidden="1"/>
    </xf>
    <xf numFmtId="0" fontId="5" fillId="0" borderId="0" xfId="0" applyFont="1" applyAlignment="1" applyProtection="1">
      <alignment horizontal="center"/>
      <protection hidden="1"/>
    </xf>
    <xf numFmtId="0" fontId="2" fillId="0" borderId="0" xfId="0" applyFont="1" applyAlignment="1" applyProtection="1">
      <alignment horizontal="center"/>
      <protection hidden="1"/>
    </xf>
    <xf numFmtId="0" fontId="2" fillId="0" borderId="7" xfId="0" applyFont="1" applyBorder="1" applyAlignment="1" applyProtection="1">
      <alignment horizontal="center"/>
      <protection hidden="1"/>
    </xf>
    <xf numFmtId="0" fontId="0" fillId="0" borderId="0" xfId="0" applyAlignment="1" applyProtection="1">
      <alignment horizontal="left"/>
      <protection hidden="1"/>
    </xf>
    <xf numFmtId="0" fontId="2" fillId="0" borderId="0" xfId="0" applyFont="1" applyBorder="1" applyAlignment="1" applyProtection="1">
      <alignment horizontal="left"/>
      <protection hidden="1"/>
    </xf>
    <xf numFmtId="0" fontId="0" fillId="0" borderId="1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6" xfId="0" applyBorder="1" applyAlignment="1" applyProtection="1">
      <alignment horizontal="center"/>
      <protection hidden="1"/>
    </xf>
    <xf numFmtId="14" fontId="0" fillId="0" borderId="0" xfId="0" applyNumberFormat="1" applyAlignment="1" applyProtection="1">
      <alignment horizontal="center"/>
      <protection hidden="1"/>
    </xf>
    <xf numFmtId="16" fontId="0" fillId="0" borderId="0" xfId="0" applyNumberFormat="1" applyAlignment="1" applyProtection="1">
      <alignment horizontal="center"/>
      <protection hidden="1"/>
    </xf>
    <xf numFmtId="0" fontId="0" fillId="0" borderId="10"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0" fillId="0" borderId="8" xfId="0" applyBorder="1" applyAlignment="1">
      <alignment horizontal="center"/>
    </xf>
    <xf numFmtId="0" fontId="0" fillId="0" borderId="8" xfId="0" applyBorder="1" applyAlignment="1">
      <alignment horizontal="center" wrapText="1"/>
    </xf>
    <xf numFmtId="1" fontId="0" fillId="0" borderId="18" xfId="0" applyNumberFormat="1" applyBorder="1" applyAlignment="1" applyProtection="1">
      <alignment horizontal="center"/>
      <protection hidden="1"/>
    </xf>
    <xf numFmtId="169" fontId="0" fillId="0" borderId="19" xfId="0" applyNumberFormat="1" applyBorder="1" applyAlignment="1" applyProtection="1">
      <alignment horizontal="center"/>
      <protection hidden="1"/>
    </xf>
    <xf numFmtId="0" fontId="0" fillId="0" borderId="20" xfId="0" applyBorder="1" applyAlignment="1" applyProtection="1">
      <alignment horizontal="center"/>
      <protection hidden="1"/>
    </xf>
    <xf numFmtId="170" fontId="0" fillId="0" borderId="14" xfId="0" applyNumberFormat="1" applyBorder="1" applyAlignment="1" applyProtection="1">
      <alignment horizontal="center"/>
      <protection hidden="1"/>
    </xf>
    <xf numFmtId="170" fontId="0" fillId="0" borderId="17" xfId="0" applyNumberFormat="1" applyBorder="1" applyAlignment="1" applyProtection="1">
      <alignment horizontal="center"/>
      <protection hidden="1"/>
    </xf>
    <xf numFmtId="170" fontId="0" fillId="0" borderId="21" xfId="0" applyNumberFormat="1" applyBorder="1" applyAlignment="1" applyProtection="1">
      <alignment horizontal="center"/>
      <protection hidden="1"/>
    </xf>
    <xf numFmtId="170" fontId="0" fillId="0" borderId="22" xfId="0" applyNumberFormat="1" applyBorder="1" applyAlignment="1" applyProtection="1">
      <alignment horizontal="center"/>
      <protection hidden="1"/>
    </xf>
    <xf numFmtId="170" fontId="0" fillId="0" borderId="0" xfId="0" applyNumberFormat="1" applyAlignment="1" applyProtection="1">
      <alignment horizontal="center"/>
      <protection hidden="1"/>
    </xf>
    <xf numFmtId="170" fontId="0" fillId="0" borderId="0" xfId="0" applyNumberFormat="1" applyBorder="1" applyAlignment="1" applyProtection="1">
      <alignment horizontal="center"/>
      <protection hidden="1"/>
    </xf>
    <xf numFmtId="1" fontId="0" fillId="0" borderId="0" xfId="0" applyNumberFormat="1" applyBorder="1" applyAlignment="1" applyProtection="1">
      <alignment horizontal="center"/>
      <protection hidden="1"/>
    </xf>
    <xf numFmtId="170" fontId="0" fillId="0" borderId="24" xfId="0" applyNumberFormat="1" applyBorder="1" applyAlignment="1" applyProtection="1">
      <alignment horizontal="center"/>
      <protection hidden="1"/>
    </xf>
    <xf numFmtId="0" fontId="0" fillId="0" borderId="24" xfId="0" applyBorder="1" applyAlignment="1" applyProtection="1">
      <alignment horizontal="center"/>
      <protection hidden="1"/>
    </xf>
    <xf numFmtId="0" fontId="0" fillId="2" borderId="0" xfId="0"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0" fillId="2" borderId="0" xfId="0" applyFill="1"/>
    <xf numFmtId="0" fontId="5" fillId="2" borderId="0" xfId="0" applyFont="1" applyFill="1" applyAlignment="1" applyProtection="1">
      <alignment horizontal="center" wrapText="1"/>
      <protection hidden="1"/>
    </xf>
    <xf numFmtId="0" fontId="5" fillId="2" borderId="0" xfId="0" applyFont="1" applyFill="1" applyAlignment="1" applyProtection="1">
      <alignment horizontal="center" vertical="center" wrapText="1"/>
      <protection hidden="1"/>
    </xf>
    <xf numFmtId="0" fontId="0" fillId="0" borderId="0" xfId="0" applyFill="1"/>
    <xf numFmtId="43" fontId="0" fillId="0" borderId="0" xfId="0" applyNumberFormat="1" applyFill="1"/>
    <xf numFmtId="0" fontId="0" fillId="2" borderId="0" xfId="0" applyFill="1" applyAlignment="1" applyProtection="1">
      <alignment horizontal="center" wrapText="1"/>
      <protection hidden="1"/>
    </xf>
    <xf numFmtId="0" fontId="19" fillId="2" borderId="0" xfId="0" applyFont="1" applyFill="1" applyBorder="1" applyAlignment="1" applyProtection="1">
      <alignment horizontal="center"/>
      <protection hidden="1"/>
    </xf>
    <xf numFmtId="44" fontId="0" fillId="2" borderId="0" xfId="2" applyFont="1" applyFill="1" applyProtection="1">
      <protection hidden="1"/>
    </xf>
    <xf numFmtId="0" fontId="0" fillId="2" borderId="0" xfId="0" applyFill="1" applyAlignment="1">
      <alignment horizontal="center" wrapText="1"/>
    </xf>
    <xf numFmtId="0" fontId="0" fillId="2" borderId="0" xfId="0" applyFill="1" applyAlignment="1" applyProtection="1">
      <alignment horizontal="center"/>
      <protection hidden="1"/>
    </xf>
    <xf numFmtId="49" fontId="0" fillId="0" borderId="0" xfId="0" applyNumberFormat="1"/>
    <xf numFmtId="0" fontId="0" fillId="0" borderId="0" xfId="0" applyAlignment="1">
      <alignment vertical="top"/>
    </xf>
    <xf numFmtId="171" fontId="2" fillId="2" borderId="0" xfId="0" applyNumberFormat="1" applyFont="1" applyFill="1" applyBorder="1" applyAlignment="1" applyProtection="1">
      <alignment horizontal="left"/>
      <protection hidden="1"/>
    </xf>
    <xf numFmtId="0" fontId="0" fillId="0" borderId="0" xfId="0" applyAlignment="1">
      <alignment horizontal="center"/>
    </xf>
    <xf numFmtId="0" fontId="0" fillId="2" borderId="0" xfId="0" applyFill="1" applyBorder="1" applyAlignment="1">
      <alignment wrapText="1"/>
    </xf>
    <xf numFmtId="49" fontId="0" fillId="0" borderId="0" xfId="0" applyNumberFormat="1" applyFill="1"/>
    <xf numFmtId="1" fontId="2" fillId="2" borderId="5" xfId="0" applyNumberFormat="1" applyFont="1" applyFill="1" applyBorder="1" applyAlignment="1" applyProtection="1">
      <alignment horizontal="left" wrapText="1"/>
      <protection hidden="1"/>
    </xf>
    <xf numFmtId="0" fontId="0" fillId="2" borderId="26" xfId="0" applyNumberFormat="1" applyFill="1" applyBorder="1" applyAlignment="1" applyProtection="1">
      <alignment horizontal="center" vertical="center"/>
      <protection hidden="1"/>
    </xf>
    <xf numFmtId="14" fontId="0" fillId="2" borderId="0" xfId="0" applyNumberFormat="1" applyFill="1" applyBorder="1" applyAlignment="1" applyProtection="1">
      <alignment horizontal="center" vertical="top"/>
      <protection hidden="1"/>
    </xf>
    <xf numFmtId="1" fontId="2" fillId="2" borderId="27" xfId="0" applyNumberFormat="1" applyFont="1" applyFill="1" applyBorder="1" applyAlignment="1" applyProtection="1">
      <alignment horizontal="center" vertical="center"/>
      <protection hidden="1"/>
    </xf>
    <xf numFmtId="164" fontId="0" fillId="2" borderId="27" xfId="0" applyNumberFormat="1" applyFill="1" applyBorder="1" applyAlignment="1" applyProtection="1">
      <alignment horizontal="center" vertical="top"/>
      <protection hidden="1"/>
    </xf>
    <xf numFmtId="0" fontId="0" fillId="0" borderId="0" xfId="0" applyAlignment="1" applyProtection="1">
      <alignment horizontal="center"/>
    </xf>
    <xf numFmtId="0" fontId="0" fillId="0" borderId="0" xfId="0" applyProtection="1"/>
    <xf numFmtId="0" fontId="0" fillId="2" borderId="0" xfId="0" applyNumberFormat="1" applyFill="1" applyBorder="1" applyAlignment="1" applyProtection="1">
      <alignment horizontal="left" vertical="center"/>
      <protection hidden="1"/>
    </xf>
    <xf numFmtId="0" fontId="0" fillId="2" borderId="0" xfId="0" applyNumberFormat="1" applyFill="1" applyBorder="1" applyAlignment="1" applyProtection="1">
      <alignment horizontal="left"/>
      <protection hidden="1"/>
    </xf>
    <xf numFmtId="164" fontId="0" fillId="2" borderId="0" xfId="0" applyNumberFormat="1" applyFill="1" applyAlignment="1" applyProtection="1">
      <alignment horizontal="center"/>
      <protection hidden="1"/>
    </xf>
    <xf numFmtId="0" fontId="0" fillId="0" borderId="0" xfId="0" applyBorder="1" applyAlignment="1" applyProtection="1">
      <alignment horizontal="center" wrapText="1"/>
      <protection hidden="1"/>
    </xf>
    <xf numFmtId="164" fontId="0" fillId="0" borderId="26" xfId="0" applyNumberFormat="1" applyBorder="1" applyAlignment="1" applyProtection="1">
      <alignment horizontal="center" vertical="center"/>
      <protection hidden="1"/>
    </xf>
    <xf numFmtId="0" fontId="13" fillId="2" borderId="0" xfId="0" applyFont="1" applyFill="1" applyProtection="1">
      <protection locked="0"/>
    </xf>
    <xf numFmtId="43" fontId="12" fillId="2" borderId="0" xfId="2" applyNumberFormat="1" applyFont="1" applyFill="1" applyBorder="1" applyAlignment="1" applyProtection="1">
      <alignment horizontal="right" wrapText="1"/>
      <protection hidden="1"/>
    </xf>
    <xf numFmtId="0" fontId="11" fillId="2" borderId="0" xfId="0" applyFont="1" applyFill="1" applyAlignment="1" applyProtection="1">
      <protection hidden="1"/>
    </xf>
    <xf numFmtId="0" fontId="2" fillId="2" borderId="0" xfId="2" applyNumberFormat="1" applyFont="1" applyFill="1" applyBorder="1" applyAlignment="1" applyProtection="1">
      <alignment horizontal="right" wrapText="1"/>
      <protection hidden="1"/>
    </xf>
    <xf numFmtId="0" fontId="14" fillId="2" borderId="0" xfId="0" applyFont="1" applyFill="1" applyProtection="1">
      <protection hidden="1"/>
    </xf>
    <xf numFmtId="0" fontId="14" fillId="2" borderId="0" xfId="0" applyFont="1" applyFill="1" applyBorder="1" applyAlignment="1">
      <alignment horizontal="right"/>
    </xf>
    <xf numFmtId="0" fontId="0" fillId="2" borderId="0" xfId="0" applyFill="1" applyAlignment="1" applyProtection="1">
      <alignment horizontal="left" vertical="top"/>
      <protection hidden="1"/>
    </xf>
    <xf numFmtId="0" fontId="2" fillId="2" borderId="0" xfId="0" applyFont="1" applyFill="1" applyBorder="1" applyProtection="1">
      <protection hidden="1"/>
    </xf>
    <xf numFmtId="0" fontId="2" fillId="2" borderId="0" xfId="0" applyFont="1" applyFill="1"/>
    <xf numFmtId="0" fontId="8" fillId="2" borderId="0" xfId="0" applyFont="1" applyFill="1"/>
    <xf numFmtId="0" fontId="12" fillId="2" borderId="0" xfId="0" applyFont="1" applyFill="1" applyAlignment="1" applyProtection="1">
      <alignment horizontal="left" wrapText="1"/>
      <protection hidden="1"/>
    </xf>
    <xf numFmtId="0" fontId="0" fillId="0" borderId="0" xfId="0" applyAlignment="1">
      <alignment vertical="top" wrapText="1"/>
    </xf>
    <xf numFmtId="0" fontId="0" fillId="0" borderId="0" xfId="0" applyAlignment="1">
      <alignment vertical="center"/>
    </xf>
    <xf numFmtId="174" fontId="2" fillId="2" borderId="0" xfId="0" applyNumberFormat="1" applyFont="1" applyFill="1" applyBorder="1" applyAlignment="1" applyProtection="1">
      <alignment horizontal="center"/>
      <protection hidden="1"/>
    </xf>
    <xf numFmtId="0" fontId="10" fillId="2" borderId="2" xfId="0" applyFont="1" applyFill="1" applyBorder="1" applyAlignment="1" applyProtection="1">
      <alignment horizontal="center"/>
      <protection hidden="1"/>
    </xf>
    <xf numFmtId="0" fontId="10" fillId="2" borderId="3" xfId="0" applyFont="1" applyFill="1" applyBorder="1" applyAlignment="1" applyProtection="1">
      <alignment horizontal="center"/>
      <protection hidden="1"/>
    </xf>
    <xf numFmtId="0" fontId="10" fillId="2" borderId="4" xfId="0" applyFont="1" applyFill="1" applyBorder="1" applyAlignment="1" applyProtection="1">
      <alignment horizontal="center"/>
      <protection hidden="1"/>
    </xf>
    <xf numFmtId="0" fontId="10" fillId="2" borderId="5" xfId="0" applyFont="1" applyFill="1" applyBorder="1" applyAlignment="1" applyProtection="1">
      <alignment horizontal="center"/>
      <protection hidden="1"/>
    </xf>
    <xf numFmtId="0" fontId="10" fillId="2" borderId="1" xfId="0" applyFont="1" applyFill="1" applyBorder="1" applyAlignment="1" applyProtection="1">
      <alignment horizontal="center"/>
      <protection hidden="1"/>
    </xf>
    <xf numFmtId="172" fontId="2" fillId="2" borderId="0" xfId="0" applyNumberFormat="1" applyFont="1" applyFill="1" applyBorder="1" applyAlignment="1" applyProtection="1">
      <alignment horizontal="center"/>
      <protection hidden="1"/>
    </xf>
    <xf numFmtId="0" fontId="2" fillId="2" borderId="26" xfId="0" applyFont="1" applyFill="1" applyBorder="1" applyAlignment="1" applyProtection="1">
      <alignment horizontal="center"/>
      <protection locked="0"/>
    </xf>
    <xf numFmtId="0" fontId="2" fillId="2" borderId="2" xfId="0" applyFont="1" applyFill="1" applyBorder="1" applyProtection="1">
      <protection hidden="1"/>
    </xf>
    <xf numFmtId="0" fontId="2" fillId="2" borderId="26" xfId="0" applyFont="1" applyFill="1" applyBorder="1" applyAlignment="1" applyProtection="1">
      <alignment horizontal="center"/>
      <protection hidden="1"/>
    </xf>
    <xf numFmtId="0" fontId="2" fillId="2" borderId="5" xfId="0" applyFont="1" applyFill="1" applyBorder="1" applyProtection="1">
      <protection hidden="1"/>
    </xf>
    <xf numFmtId="1" fontId="28" fillId="2" borderId="2" xfId="0" applyNumberFormat="1" applyFont="1" applyFill="1" applyBorder="1" applyAlignment="1" applyProtection="1">
      <alignment horizontal="left"/>
      <protection hidden="1"/>
    </xf>
    <xf numFmtId="0" fontId="2" fillId="2" borderId="5" xfId="0" applyFont="1" applyFill="1" applyBorder="1" applyAlignment="1" applyProtection="1">
      <protection hidden="1"/>
    </xf>
    <xf numFmtId="9" fontId="10" fillId="2" borderId="0" xfId="0" applyNumberFormat="1" applyFont="1" applyFill="1" applyBorder="1" applyAlignment="1" applyProtection="1">
      <alignment horizontal="center"/>
      <protection hidden="1"/>
    </xf>
    <xf numFmtId="0" fontId="0" fillId="2" borderId="0" xfId="0" applyFill="1" applyBorder="1" applyAlignment="1">
      <alignment horizontal="center" vertical="center" wrapText="1"/>
    </xf>
    <xf numFmtId="0" fontId="0" fillId="2" borderId="0"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Border="1" applyAlignment="1">
      <alignment horizontal="center" vertical="center"/>
    </xf>
    <xf numFmtId="0" fontId="24" fillId="2" borderId="0" xfId="0" applyFont="1" applyFill="1" applyBorder="1" applyAlignment="1" applyProtection="1">
      <alignment horizontal="center"/>
      <protection hidden="1"/>
    </xf>
    <xf numFmtId="0" fontId="2" fillId="2" borderId="0" xfId="0" applyFont="1" applyFill="1" applyBorder="1" applyAlignment="1"/>
    <xf numFmtId="0" fontId="24" fillId="2" borderId="5" xfId="0" applyFont="1" applyFill="1" applyBorder="1" applyAlignment="1" applyProtection="1">
      <alignment horizontal="center"/>
      <protection hidden="1"/>
    </xf>
    <xf numFmtId="0" fontId="2" fillId="0" borderId="2" xfId="0" applyFont="1" applyFill="1" applyBorder="1" applyProtection="1">
      <protection hidden="1"/>
    </xf>
    <xf numFmtId="44" fontId="2" fillId="2" borderId="0" xfId="0" applyNumberFormat="1" applyFont="1" applyFill="1" applyBorder="1" applyAlignment="1" applyProtection="1">
      <protection hidden="1"/>
    </xf>
    <xf numFmtId="173" fontId="2" fillId="2" borderId="0" xfId="0" applyNumberFormat="1" applyFont="1" applyFill="1" applyAlignment="1" applyProtection="1">
      <alignment horizontal="left" vertical="top"/>
      <protection hidden="1"/>
    </xf>
    <xf numFmtId="0" fontId="0" fillId="2" borderId="0" xfId="0" applyNumberFormat="1" applyFill="1" applyAlignment="1" applyProtection="1">
      <alignment vertical="top" wrapText="1"/>
      <protection hidden="1"/>
    </xf>
    <xf numFmtId="168" fontId="2" fillId="2" borderId="0" xfId="0" applyNumberFormat="1" applyFont="1" applyFill="1" applyBorder="1" applyAlignment="1" applyProtection="1">
      <alignment vertical="top"/>
      <protection hidden="1"/>
    </xf>
    <xf numFmtId="0" fontId="0" fillId="2" borderId="5" xfId="0" applyFill="1" applyBorder="1" applyAlignment="1" applyProtection="1">
      <alignment horizontal="center"/>
      <protection hidden="1"/>
    </xf>
    <xf numFmtId="178" fontId="33" fillId="2" borderId="0" xfId="0" applyNumberFormat="1" applyFont="1" applyFill="1" applyBorder="1" applyAlignment="1" applyProtection="1">
      <alignment horizontal="center"/>
      <protection locked="0"/>
    </xf>
    <xf numFmtId="0" fontId="14" fillId="2" borderId="0" xfId="0" applyFont="1" applyFill="1" applyAlignment="1" applyProtection="1">
      <alignment horizontal="right" vertical="top"/>
      <protection hidden="1"/>
    </xf>
    <xf numFmtId="0" fontId="2" fillId="2" borderId="5" xfId="0" applyFont="1" applyFill="1" applyBorder="1" applyAlignment="1" applyProtection="1">
      <alignment horizontal="left"/>
      <protection hidden="1"/>
    </xf>
    <xf numFmtId="173" fontId="2" fillId="2" borderId="3" xfId="0" applyNumberFormat="1" applyFont="1" applyFill="1" applyBorder="1" applyAlignment="1" applyProtection="1">
      <alignment horizontal="center"/>
      <protection hidden="1"/>
    </xf>
    <xf numFmtId="173" fontId="2" fillId="2" borderId="0" xfId="0" applyNumberFormat="1" applyFont="1" applyFill="1" applyBorder="1" applyAlignment="1" applyProtection="1">
      <alignment horizontal="center"/>
      <protection hidden="1"/>
    </xf>
    <xf numFmtId="171" fontId="2" fillId="2" borderId="5" xfId="0" applyNumberFormat="1" applyFont="1" applyFill="1" applyBorder="1" applyAlignment="1" applyProtection="1">
      <alignment horizontal="center"/>
      <protection hidden="1"/>
    </xf>
    <xf numFmtId="173" fontId="2" fillId="2" borderId="0" xfId="0" applyNumberFormat="1" applyFont="1" applyFill="1" applyBorder="1" applyAlignment="1" applyProtection="1">
      <alignment horizontal="left"/>
      <protection hidden="1"/>
    </xf>
    <xf numFmtId="0" fontId="0" fillId="2" borderId="0" xfId="0" applyFill="1" applyBorder="1" applyAlignment="1" applyProtection="1">
      <alignment horizontal="left" vertical="top"/>
      <protection hidden="1"/>
    </xf>
    <xf numFmtId="0" fontId="0" fillId="0" borderId="0" xfId="0" applyAlignment="1">
      <alignment horizontal="center" vertical="top"/>
    </xf>
    <xf numFmtId="1" fontId="0" fillId="0" borderId="0" xfId="0" applyNumberFormat="1"/>
    <xf numFmtId="0" fontId="10" fillId="2" borderId="32" xfId="0" applyFont="1" applyFill="1" applyBorder="1" applyAlignment="1" applyProtection="1">
      <alignment horizontal="center"/>
      <protection hidden="1"/>
    </xf>
    <xf numFmtId="0" fontId="10" fillId="2" borderId="33" xfId="0" applyFont="1" applyFill="1" applyBorder="1" applyAlignment="1" applyProtection="1">
      <alignment horizontal="center"/>
      <protection hidden="1"/>
    </xf>
    <xf numFmtId="0" fontId="0" fillId="2" borderId="33" xfId="0" applyFill="1" applyBorder="1" applyAlignment="1">
      <alignment horizontal="center" vertical="center"/>
    </xf>
    <xf numFmtId="0" fontId="10" fillId="2" borderId="0" xfId="0" applyFont="1" applyFill="1" applyAlignment="1" applyProtection="1">
      <alignment horizontal="center" vertical="top"/>
      <protection hidden="1"/>
    </xf>
    <xf numFmtId="174" fontId="2" fillId="2" borderId="0" xfId="0" applyNumberFormat="1" applyFont="1" applyFill="1" applyAlignment="1" applyProtection="1">
      <alignment horizontal="center" vertical="top"/>
      <protection hidden="1"/>
    </xf>
    <xf numFmtId="174" fontId="2" fillId="2" borderId="0" xfId="0" applyNumberFormat="1" applyFont="1" applyFill="1" applyAlignment="1" applyProtection="1">
      <alignment vertical="top"/>
      <protection hidden="1"/>
    </xf>
    <xf numFmtId="44" fontId="2" fillId="2" borderId="0" xfId="0" applyNumberFormat="1" applyFont="1" applyFill="1" applyAlignment="1" applyProtection="1">
      <alignment horizontal="center"/>
      <protection hidden="1"/>
    </xf>
    <xf numFmtId="0" fontId="14" fillId="2" borderId="3" xfId="0" applyFont="1" applyFill="1" applyBorder="1" applyAlignment="1" applyProtection="1">
      <alignment horizontal="center"/>
      <protection hidden="1"/>
    </xf>
    <xf numFmtId="49" fontId="2" fillId="2" borderId="0" xfId="0" applyNumberFormat="1" applyFont="1" applyFill="1" applyBorder="1" applyAlignment="1" applyProtection="1">
      <protection hidden="1"/>
    </xf>
    <xf numFmtId="49" fontId="2" fillId="2" borderId="0" xfId="0" applyNumberFormat="1" applyFont="1" applyFill="1" applyBorder="1" applyProtection="1">
      <protection hidden="1"/>
    </xf>
    <xf numFmtId="0" fontId="0" fillId="2" borderId="0" xfId="0" applyFill="1" applyBorder="1" applyAlignment="1" applyProtection="1">
      <alignment horizontal="left" vertical="top" wrapText="1"/>
      <protection hidden="1"/>
    </xf>
    <xf numFmtId="1" fontId="37" fillId="0" borderId="35" xfId="5" applyNumberFormat="1" applyFont="1" applyBorder="1" applyAlignment="1" applyProtection="1">
      <alignment horizontal="right" vertical="center"/>
    </xf>
    <xf numFmtId="1" fontId="37" fillId="0" borderId="6" xfId="5" applyNumberFormat="1" applyFont="1" applyBorder="1" applyAlignment="1" applyProtection="1">
      <alignment horizontal="right" vertical="center"/>
    </xf>
    <xf numFmtId="1" fontId="37" fillId="0" borderId="36" xfId="5" applyNumberFormat="1" applyFont="1" applyBorder="1" applyAlignment="1" applyProtection="1">
      <alignment horizontal="right" vertical="center"/>
    </xf>
    <xf numFmtId="1" fontId="1" fillId="0" borderId="0" xfId="5" applyNumberFormat="1" applyFill="1" applyBorder="1"/>
    <xf numFmtId="1" fontId="40" fillId="5" borderId="19" xfId="5" applyNumberFormat="1" applyFont="1" applyFill="1" applyBorder="1" applyAlignment="1" applyProtection="1">
      <alignment horizontal="center" vertical="center" wrapText="1"/>
    </xf>
    <xf numFmtId="0" fontId="2" fillId="2" borderId="27" xfId="0" applyFont="1" applyFill="1" applyBorder="1" applyAlignment="1" applyProtection="1">
      <alignment horizontal="center"/>
      <protection hidden="1"/>
    </xf>
    <xf numFmtId="0" fontId="0" fillId="2" borderId="0" xfId="0" applyFill="1" applyAlignment="1" applyProtection="1">
      <alignment wrapText="1"/>
      <protection hidden="1"/>
    </xf>
    <xf numFmtId="0" fontId="8" fillId="2" borderId="0" xfId="0" applyFont="1" applyFill="1" applyBorder="1" applyAlignment="1" applyProtection="1">
      <alignment horizontal="right" wrapText="1"/>
      <protection hidden="1"/>
    </xf>
    <xf numFmtId="0" fontId="0" fillId="0" borderId="0" xfId="0"/>
    <xf numFmtId="0" fontId="0" fillId="0" borderId="0" xfId="0" applyAlignment="1">
      <alignment vertical="top"/>
    </xf>
    <xf numFmtId="0" fontId="14" fillId="7" borderId="0" xfId="0" applyFont="1" applyFill="1" applyBorder="1" applyAlignment="1">
      <alignment horizontal="right"/>
    </xf>
    <xf numFmtId="0" fontId="0" fillId="7" borderId="0" xfId="0" applyFill="1"/>
    <xf numFmtId="49" fontId="0" fillId="7" borderId="0" xfId="0" applyNumberFormat="1" applyFill="1" applyProtection="1">
      <protection hidden="1"/>
    </xf>
    <xf numFmtId="49" fontId="0" fillId="7" borderId="0" xfId="0" applyNumberFormat="1" applyFill="1" applyAlignment="1" applyProtection="1">
      <protection hidden="1"/>
    </xf>
    <xf numFmtId="0" fontId="8" fillId="7" borderId="0" xfId="0" applyFont="1" applyFill="1" applyAlignment="1" applyProtection="1">
      <alignment horizontal="right"/>
      <protection hidden="1"/>
    </xf>
    <xf numFmtId="49" fontId="0" fillId="7" borderId="0" xfId="0" applyNumberFormat="1" applyFill="1" applyAlignment="1" applyProtection="1">
      <alignment vertical="top" wrapText="1"/>
      <protection hidden="1"/>
    </xf>
    <xf numFmtId="0" fontId="10" fillId="7" borderId="0" xfId="0" applyFont="1" applyFill="1" applyAlignment="1" applyProtection="1">
      <alignment horizontal="center"/>
      <protection hidden="1"/>
    </xf>
    <xf numFmtId="175" fontId="2" fillId="7" borderId="0" xfId="0" applyNumberFormat="1" applyFont="1" applyFill="1" applyAlignment="1" applyProtection="1">
      <alignment horizontal="left" wrapText="1"/>
      <protection hidden="1"/>
    </xf>
    <xf numFmtId="175" fontId="0" fillId="7" borderId="0" xfId="0" applyNumberFormat="1" applyFill="1" applyAlignment="1" applyProtection="1">
      <alignment horizontal="left" wrapText="1"/>
      <protection hidden="1"/>
    </xf>
    <xf numFmtId="171" fontId="2" fillId="7" borderId="0" xfId="0" applyNumberFormat="1" applyFont="1" applyFill="1" applyBorder="1" applyAlignment="1" applyProtection="1">
      <alignment horizontal="left"/>
      <protection hidden="1"/>
    </xf>
    <xf numFmtId="0" fontId="0" fillId="7" borderId="0" xfId="0" applyFill="1" applyBorder="1" applyAlignment="1" applyProtection="1">
      <alignment horizontal="center" vertical="center"/>
      <protection hidden="1"/>
    </xf>
    <xf numFmtId="14" fontId="0" fillId="7" borderId="0" xfId="0" applyNumberFormat="1" applyFill="1" applyAlignment="1" applyProtection="1">
      <alignment vertical="top"/>
      <protection hidden="1"/>
    </xf>
    <xf numFmtId="166" fontId="0" fillId="7" borderId="0" xfId="0" applyNumberFormat="1" applyFill="1" applyBorder="1" applyAlignment="1" applyProtection="1">
      <alignment horizontal="center" vertical="center"/>
      <protection hidden="1"/>
    </xf>
    <xf numFmtId="0" fontId="2" fillId="7" borderId="0" xfId="0" applyFont="1" applyFill="1" applyBorder="1" applyAlignment="1" applyProtection="1">
      <alignment horizontal="right"/>
      <protection hidden="1"/>
    </xf>
    <xf numFmtId="186" fontId="2" fillId="7" borderId="5" xfId="2" applyNumberFormat="1" applyFont="1" applyFill="1" applyBorder="1" applyAlignment="1" applyProtection="1">
      <alignment horizontal="center" wrapText="1"/>
      <protection hidden="1"/>
    </xf>
    <xf numFmtId="0" fontId="2" fillId="7" borderId="0" xfId="0" applyFont="1" applyFill="1" applyBorder="1" applyAlignment="1" applyProtection="1">
      <alignment horizontal="right" wrapText="1"/>
      <protection hidden="1"/>
    </xf>
    <xf numFmtId="0" fontId="1" fillId="7" borderId="0" xfId="0" applyFont="1" applyFill="1" applyBorder="1" applyProtection="1">
      <protection hidden="1"/>
    </xf>
    <xf numFmtId="0" fontId="36" fillId="2" borderId="0" xfId="0" applyFont="1" applyFill="1" applyBorder="1" applyAlignment="1" applyProtection="1">
      <alignment horizontal="center" vertical="center"/>
      <protection hidden="1"/>
    </xf>
    <xf numFmtId="0" fontId="13" fillId="2" borderId="0" xfId="0" applyFont="1" applyFill="1" applyBorder="1" applyAlignment="1" applyProtection="1">
      <protection hidden="1"/>
    </xf>
    <xf numFmtId="0" fontId="19" fillId="6" borderId="26" xfId="0" applyFont="1" applyFill="1" applyBorder="1" applyAlignment="1" applyProtection="1">
      <alignment horizontal="center"/>
      <protection locked="0"/>
    </xf>
    <xf numFmtId="0" fontId="1" fillId="0" borderId="0" xfId="0" applyFont="1" applyFill="1" applyAlignment="1" applyProtection="1">
      <alignment horizontal="center"/>
      <protection hidden="1"/>
    </xf>
    <xf numFmtId="0" fontId="6" fillId="0" borderId="0" xfId="0" applyFont="1" applyFill="1" applyAlignment="1" applyProtection="1">
      <alignment horizontal="center"/>
      <protection hidden="1"/>
    </xf>
    <xf numFmtId="0" fontId="43" fillId="2" borderId="0" xfId="0" applyFont="1" applyFill="1" applyAlignment="1">
      <alignment horizontal="right" vertical="center"/>
    </xf>
    <xf numFmtId="0" fontId="0" fillId="0" borderId="0" xfId="0" applyAlignment="1">
      <alignment vertical="top"/>
    </xf>
    <xf numFmtId="0" fontId="0" fillId="0" borderId="0" xfId="0"/>
    <xf numFmtId="0" fontId="2" fillId="2" borderId="4" xfId="0" applyFont="1" applyFill="1" applyBorder="1" applyProtection="1">
      <protection hidden="1"/>
    </xf>
    <xf numFmtId="0" fontId="2" fillId="8" borderId="26" xfId="0" applyFont="1" applyFill="1" applyBorder="1" applyAlignment="1" applyProtection="1">
      <alignment horizontal="center"/>
      <protection locked="0"/>
    </xf>
    <xf numFmtId="0" fontId="2" fillId="7" borderId="0" xfId="0" applyFont="1" applyFill="1" applyBorder="1" applyProtection="1">
      <protection hidden="1"/>
    </xf>
    <xf numFmtId="0" fontId="2" fillId="7" borderId="2" xfId="0" applyFont="1" applyFill="1" applyBorder="1" applyProtection="1">
      <protection hidden="1"/>
    </xf>
    <xf numFmtId="0" fontId="2" fillId="7" borderId="26" xfId="0" applyFont="1" applyFill="1" applyBorder="1" applyAlignment="1" applyProtection="1">
      <alignment horizontal="center"/>
      <protection hidden="1"/>
    </xf>
    <xf numFmtId="0" fontId="0" fillId="7" borderId="3" xfId="0" applyFill="1" applyBorder="1" applyAlignment="1"/>
    <xf numFmtId="0" fontId="0" fillId="0" borderId="0" xfId="0"/>
    <xf numFmtId="0" fontId="0" fillId="7" borderId="1" xfId="0" applyFill="1" applyBorder="1" applyAlignment="1"/>
    <xf numFmtId="0" fontId="4" fillId="0" borderId="0" xfId="0" applyFont="1" applyFill="1" applyAlignment="1" applyProtection="1">
      <alignment vertical="center"/>
      <protection hidden="1"/>
    </xf>
    <xf numFmtId="0" fontId="0" fillId="7" borderId="0" xfId="0" applyFill="1" applyBorder="1" applyAlignment="1">
      <alignment horizontal="center" wrapText="1"/>
    </xf>
    <xf numFmtId="0" fontId="0" fillId="0" borderId="0" xfId="0" applyAlignment="1">
      <alignment vertical="top"/>
    </xf>
    <xf numFmtId="0" fontId="0" fillId="0" borderId="0" xfId="0"/>
    <xf numFmtId="1" fontId="2" fillId="0" borderId="26" xfId="0" applyNumberFormat="1" applyFont="1" applyFill="1" applyBorder="1" applyAlignment="1" applyProtection="1">
      <alignment horizontal="center"/>
      <protection locked="0"/>
    </xf>
    <xf numFmtId="0" fontId="44" fillId="7" borderId="3" xfId="0" applyFont="1" applyFill="1" applyBorder="1" applyAlignment="1">
      <alignment vertical="center"/>
    </xf>
    <xf numFmtId="0" fontId="0" fillId="0" borderId="0" xfId="0" applyAlignment="1">
      <alignment vertical="top"/>
    </xf>
    <xf numFmtId="43" fontId="2" fillId="2" borderId="0" xfId="0" applyNumberFormat="1" applyFont="1" applyFill="1" applyAlignment="1" applyProtection="1">
      <alignment horizontal="right" vertical="top"/>
      <protection hidden="1"/>
    </xf>
    <xf numFmtId="44" fontId="2" fillId="2" borderId="0" xfId="0" applyNumberFormat="1" applyFont="1" applyFill="1" applyAlignment="1" applyProtection="1">
      <alignment horizontal="right" vertical="top"/>
      <protection hidden="1"/>
    </xf>
    <xf numFmtId="44" fontId="2" fillId="2" borderId="37" xfId="0" applyNumberFormat="1" applyFont="1" applyFill="1" applyBorder="1" applyAlignment="1" applyProtection="1">
      <alignment vertical="top"/>
      <protection hidden="1"/>
    </xf>
    <xf numFmtId="0" fontId="0" fillId="0" borderId="0" xfId="0"/>
    <xf numFmtId="49" fontId="0" fillId="7" borderId="0" xfId="0" applyNumberFormat="1" applyFill="1" applyAlignment="1" applyProtection="1">
      <alignment vertical="top"/>
      <protection hidden="1"/>
    </xf>
    <xf numFmtId="168" fontId="2" fillId="2" borderId="0" xfId="0" applyNumberFormat="1" applyFont="1" applyFill="1" applyBorder="1" applyAlignment="1" applyProtection="1">
      <alignment horizontal="center" vertical="top" wrapText="1"/>
      <protection hidden="1"/>
    </xf>
    <xf numFmtId="0" fontId="0" fillId="0" borderId="0" xfId="0"/>
    <xf numFmtId="44" fontId="2" fillId="2" borderId="0" xfId="0" applyNumberFormat="1" applyFont="1" applyFill="1" applyBorder="1" applyAlignment="1" applyProtection="1">
      <alignment vertical="top"/>
      <protection hidden="1"/>
    </xf>
    <xf numFmtId="44" fontId="2" fillId="2" borderId="0" xfId="0" applyNumberFormat="1" applyFont="1" applyFill="1" applyBorder="1" applyAlignment="1" applyProtection="1">
      <alignment horizontal="right" vertical="top"/>
      <protection hidden="1"/>
    </xf>
    <xf numFmtId="43" fontId="2" fillId="2" borderId="0" xfId="0" applyNumberFormat="1" applyFont="1" applyFill="1" applyBorder="1" applyAlignment="1" applyProtection="1">
      <alignment horizontal="right" vertical="top"/>
      <protection hidden="1"/>
    </xf>
    <xf numFmtId="0" fontId="11" fillId="7" borderId="2" xfId="0" applyFont="1" applyFill="1" applyBorder="1" applyAlignment="1" applyProtection="1">
      <protection hidden="1"/>
    </xf>
    <xf numFmtId="0" fontId="11" fillId="7" borderId="2" xfId="0" applyFont="1" applyFill="1" applyBorder="1" applyAlignment="1"/>
    <xf numFmtId="0" fontId="2" fillId="0" borderId="0" xfId="0" applyFont="1" applyFill="1" applyProtection="1">
      <protection hidden="1"/>
    </xf>
    <xf numFmtId="0" fontId="0" fillId="2" borderId="5" xfId="0" applyFill="1" applyBorder="1" applyAlignment="1" applyProtection="1">
      <alignment horizontal="left"/>
      <protection hidden="1"/>
    </xf>
    <xf numFmtId="0" fontId="0" fillId="2" borderId="0" xfId="0" applyFill="1" applyBorder="1" applyAlignment="1" applyProtection="1">
      <alignment vertical="top"/>
      <protection hidden="1"/>
    </xf>
    <xf numFmtId="0" fontId="0" fillId="7" borderId="0" xfId="0" applyFill="1" applyAlignment="1" applyProtection="1">
      <protection locked="0"/>
    </xf>
    <xf numFmtId="0" fontId="44" fillId="2" borderId="0" xfId="0" applyFont="1" applyFill="1" applyAlignment="1" applyProtection="1">
      <alignment horizontal="right"/>
      <protection hidden="1"/>
    </xf>
    <xf numFmtId="174" fontId="2" fillId="2" borderId="5" xfId="0" applyNumberFormat="1" applyFont="1" applyFill="1" applyBorder="1" applyAlignment="1" applyProtection="1">
      <alignment horizontal="center"/>
      <protection hidden="1"/>
    </xf>
    <xf numFmtId="173" fontId="2" fillId="2" borderId="5" xfId="0" applyNumberFormat="1" applyFont="1" applyFill="1" applyBorder="1" applyAlignment="1" applyProtection="1">
      <alignment horizontal="center"/>
      <protection hidden="1"/>
    </xf>
    <xf numFmtId="173" fontId="2" fillId="2" borderId="1" xfId="0" applyNumberFormat="1" applyFont="1" applyFill="1" applyBorder="1" applyAlignment="1" applyProtection="1">
      <alignment horizontal="center"/>
      <protection hidden="1"/>
    </xf>
    <xf numFmtId="173" fontId="2" fillId="0" borderId="3" xfId="0" applyNumberFormat="1" applyFont="1" applyFill="1" applyBorder="1" applyAlignment="1" applyProtection="1">
      <alignment horizontal="center"/>
      <protection hidden="1"/>
    </xf>
    <xf numFmtId="0" fontId="0" fillId="0" borderId="0" xfId="0" applyProtection="1">
      <protection locked="0"/>
    </xf>
    <xf numFmtId="0" fontId="13" fillId="2" borderId="0" xfId="0" applyFont="1" applyFill="1" applyProtection="1">
      <protection hidden="1"/>
    </xf>
    <xf numFmtId="49" fontId="13" fillId="2" borderId="0" xfId="0" applyNumberFormat="1" applyFont="1" applyFill="1" applyAlignment="1" applyProtection="1">
      <alignment vertical="top"/>
      <protection hidden="1"/>
    </xf>
    <xf numFmtId="0" fontId="1" fillId="2" borderId="0" xfId="0" applyFont="1" applyFill="1" applyProtection="1">
      <protection hidden="1"/>
    </xf>
    <xf numFmtId="0" fontId="1" fillId="0" borderId="0" xfId="0" applyFont="1" applyAlignment="1"/>
    <xf numFmtId="0" fontId="1" fillId="2" borderId="0" xfId="0" applyFont="1" applyFill="1" applyAlignment="1"/>
    <xf numFmtId="0" fontId="1" fillId="0" borderId="0" xfId="0" applyFont="1" applyFill="1" applyProtection="1">
      <protection hidden="1"/>
    </xf>
    <xf numFmtId="43" fontId="1" fillId="2" borderId="0" xfId="0" applyNumberFormat="1" applyFont="1" applyFill="1" applyBorder="1" applyAlignment="1"/>
    <xf numFmtId="43" fontId="1" fillId="2" borderId="0" xfId="2" applyNumberFormat="1" applyFont="1" applyFill="1" applyBorder="1" applyAlignment="1" applyProtection="1">
      <protection hidden="1"/>
    </xf>
    <xf numFmtId="0" fontId="1" fillId="7" borderId="3" xfId="0" applyFont="1" applyFill="1" applyBorder="1" applyProtection="1">
      <protection hidden="1"/>
    </xf>
    <xf numFmtId="0" fontId="1" fillId="7" borderId="0" xfId="0" applyFont="1" applyFill="1" applyBorder="1" applyAlignment="1" applyProtection="1">
      <alignment horizontal="right"/>
      <protection hidden="1"/>
    </xf>
    <xf numFmtId="0" fontId="22" fillId="7" borderId="2" xfId="0" applyFont="1" applyFill="1" applyBorder="1" applyAlignment="1" applyProtection="1">
      <alignment horizontal="right"/>
      <protection hidden="1"/>
    </xf>
    <xf numFmtId="0" fontId="22" fillId="7" borderId="0" xfId="0" applyFont="1" applyFill="1" applyBorder="1" applyAlignment="1" applyProtection="1">
      <alignment horizontal="right"/>
      <protection hidden="1"/>
    </xf>
    <xf numFmtId="0" fontId="1" fillId="2" borderId="2" xfId="0" applyFont="1" applyFill="1" applyBorder="1" applyProtection="1">
      <protection hidden="1"/>
    </xf>
    <xf numFmtId="170" fontId="0" fillId="2" borderId="0" xfId="0" applyNumberFormat="1" applyFill="1" applyAlignment="1"/>
    <xf numFmtId="0" fontId="42" fillId="2" borderId="0" xfId="0" applyNumberFormat="1" applyFont="1" applyFill="1" applyAlignment="1" applyProtection="1">
      <alignment horizontal="left" vertical="top" wrapText="1"/>
      <protection locked="0"/>
    </xf>
    <xf numFmtId="0" fontId="14" fillId="2" borderId="0" xfId="0" applyFont="1" applyFill="1" applyAlignment="1" applyProtection="1">
      <alignment horizontal="right" vertical="center" wrapText="1"/>
      <protection hidden="1"/>
    </xf>
    <xf numFmtId="0" fontId="2" fillId="7" borderId="0" xfId="0" applyFont="1" applyFill="1" applyBorder="1" applyAlignment="1">
      <alignment horizontal="left"/>
    </xf>
    <xf numFmtId="0" fontId="19" fillId="2" borderId="0" xfId="0" applyFont="1" applyFill="1" applyBorder="1" applyAlignment="1" applyProtection="1">
      <alignment horizontal="left"/>
      <protection hidden="1"/>
    </xf>
    <xf numFmtId="0" fontId="2" fillId="2" borderId="5" xfId="0" applyFont="1" applyFill="1" applyBorder="1" applyAlignment="1" applyProtection="1">
      <alignment horizontal="center"/>
      <protection hidden="1"/>
    </xf>
    <xf numFmtId="0" fontId="0" fillId="0" borderId="0" xfId="0"/>
    <xf numFmtId="0" fontId="44" fillId="7" borderId="0" xfId="0" applyFont="1" applyFill="1" applyBorder="1" applyAlignment="1">
      <alignment vertical="center"/>
    </xf>
    <xf numFmtId="0" fontId="11" fillId="7" borderId="0" xfId="0" applyFont="1" applyFill="1" applyBorder="1" applyAlignment="1"/>
    <xf numFmtId="0" fontId="2" fillId="0" borderId="26" xfId="0" applyFont="1" applyFill="1" applyBorder="1" applyAlignment="1" applyProtection="1">
      <alignment horizontal="center"/>
      <protection locked="0"/>
    </xf>
    <xf numFmtId="0" fontId="2" fillId="0" borderId="26" xfId="0" applyFont="1" applyFill="1" applyBorder="1" applyAlignment="1" applyProtection="1">
      <alignment horizontal="center"/>
      <protection hidden="1"/>
    </xf>
    <xf numFmtId="178" fontId="0" fillId="7" borderId="0" xfId="0" applyNumberFormat="1" applyFill="1" applyBorder="1" applyAlignment="1" applyProtection="1">
      <alignment horizontal="left"/>
      <protection hidden="1"/>
    </xf>
    <xf numFmtId="0" fontId="0" fillId="0" borderId="0" xfId="0"/>
    <xf numFmtId="2" fontId="1" fillId="0" borderId="0" xfId="0" applyNumberFormat="1" applyFont="1" applyFill="1" applyProtection="1">
      <protection hidden="1"/>
    </xf>
    <xf numFmtId="0" fontId="1" fillId="7" borderId="0" xfId="0" applyFont="1" applyFill="1"/>
    <xf numFmtId="0" fontId="12" fillId="7" borderId="0" xfId="0" applyFont="1" applyFill="1"/>
    <xf numFmtId="0" fontId="2" fillId="7" borderId="0" xfId="0" applyFont="1" applyFill="1"/>
    <xf numFmtId="0" fontId="1" fillId="7" borderId="0" xfId="0" applyFont="1" applyFill="1" applyAlignment="1">
      <alignment horizontal="left"/>
    </xf>
    <xf numFmtId="0" fontId="5" fillId="7" borderId="0" xfId="0" applyFont="1" applyFill="1"/>
    <xf numFmtId="0" fontId="5" fillId="7" borderId="0" xfId="0" applyFont="1" applyFill="1" applyAlignment="1">
      <alignment horizontal="right"/>
    </xf>
    <xf numFmtId="0" fontId="0" fillId="0" borderId="0" xfId="0"/>
    <xf numFmtId="0" fontId="0" fillId="7" borderId="0" xfId="0" applyFill="1" applyAlignment="1">
      <alignment vertical="center"/>
    </xf>
    <xf numFmtId="0" fontId="2" fillId="8" borderId="22" xfId="0" applyFont="1" applyFill="1" applyBorder="1" applyAlignment="1" applyProtection="1">
      <alignment horizontal="center"/>
      <protection locked="0"/>
    </xf>
    <xf numFmtId="1" fontId="41" fillId="0" borderId="24" xfId="5" applyNumberFormat="1" applyFont="1" applyBorder="1" applyAlignment="1" applyProtection="1">
      <alignment horizontal="center" wrapText="1"/>
      <protection locked="0"/>
    </xf>
    <xf numFmtId="1" fontId="41" fillId="0" borderId="24" xfId="5" applyNumberFormat="1" applyFont="1" applyBorder="1" applyAlignment="1">
      <alignment horizontal="center" wrapText="1"/>
    </xf>
    <xf numFmtId="1" fontId="37" fillId="0" borderId="26" xfId="5" applyNumberFormat="1" applyFont="1" applyFill="1" applyBorder="1" applyAlignment="1" applyProtection="1">
      <alignment vertical="center"/>
    </xf>
    <xf numFmtId="0" fontId="0" fillId="0" borderId="0" xfId="0" applyAlignment="1">
      <alignment vertical="top"/>
    </xf>
    <xf numFmtId="0" fontId="0" fillId="0" borderId="0" xfId="0"/>
    <xf numFmtId="0" fontId="0" fillId="7" borderId="0" xfId="0" applyFill="1" applyBorder="1"/>
    <xf numFmtId="0" fontId="0" fillId="7" borderId="3" xfId="0" applyFill="1" applyBorder="1" applyAlignment="1">
      <alignment horizontal="center" wrapText="1"/>
    </xf>
    <xf numFmtId="0" fontId="2" fillId="7" borderId="2" xfId="0" applyFont="1" applyFill="1" applyBorder="1" applyAlignment="1" applyProtection="1">
      <alignment horizontal="left" vertical="center"/>
      <protection hidden="1"/>
    </xf>
    <xf numFmtId="0" fontId="2" fillId="7" borderId="2" xfId="0" applyFont="1" applyFill="1" applyBorder="1" applyAlignment="1">
      <alignment horizontal="left" vertical="center"/>
    </xf>
    <xf numFmtId="0" fontId="2" fillId="7" borderId="0" xfId="0" applyFont="1" applyFill="1" applyAlignment="1">
      <alignment horizontal="center" wrapText="1"/>
    </xf>
    <xf numFmtId="0" fontId="2" fillId="7" borderId="0" xfId="0" applyFont="1" applyFill="1" applyBorder="1" applyAlignment="1">
      <alignment horizontal="center" wrapText="1"/>
    </xf>
    <xf numFmtId="0" fontId="0" fillId="7" borderId="0" xfId="0" applyFill="1" applyAlignment="1">
      <alignment horizontal="center" wrapText="1"/>
    </xf>
    <xf numFmtId="0" fontId="6" fillId="7" borderId="0" xfId="0" applyFont="1" applyFill="1" applyProtection="1">
      <protection hidden="1"/>
    </xf>
    <xf numFmtId="0" fontId="2" fillId="7" borderId="0" xfId="0" applyFont="1" applyFill="1" applyProtection="1">
      <protection hidden="1"/>
    </xf>
    <xf numFmtId="0" fontId="8" fillId="2" borderId="0" xfId="0" applyFont="1" applyFill="1" applyBorder="1" applyProtection="1">
      <protection hidden="1"/>
    </xf>
    <xf numFmtId="0" fontId="18" fillId="2" borderId="0" xfId="0" applyFont="1" applyFill="1" applyBorder="1" applyAlignment="1" applyProtection="1">
      <alignment horizontal="center"/>
      <protection hidden="1"/>
    </xf>
    <xf numFmtId="0" fontId="8" fillId="7" borderId="0" xfId="0" applyFont="1" applyFill="1" applyBorder="1" applyProtection="1">
      <protection hidden="1"/>
    </xf>
    <xf numFmtId="0" fontId="18" fillId="7" borderId="0" xfId="0" applyFont="1" applyFill="1" applyBorder="1" applyAlignment="1" applyProtection="1">
      <alignment horizontal="center"/>
      <protection hidden="1"/>
    </xf>
    <xf numFmtId="0" fontId="48" fillId="2" borderId="0" xfId="0" applyFont="1" applyFill="1" applyBorder="1" applyProtection="1">
      <protection hidden="1"/>
    </xf>
    <xf numFmtId="0" fontId="48" fillId="7" borderId="0" xfId="0" applyFont="1" applyFill="1" applyBorder="1" applyProtection="1">
      <protection hidden="1"/>
    </xf>
    <xf numFmtId="0" fontId="0" fillId="7" borderId="0" xfId="0" applyFill="1" applyAlignment="1">
      <alignment horizontal="left"/>
    </xf>
    <xf numFmtId="0" fontId="49" fillId="2" borderId="0" xfId="0" applyFont="1" applyFill="1" applyBorder="1" applyAlignment="1" applyProtection="1">
      <alignment horizontal="center"/>
      <protection hidden="1"/>
    </xf>
    <xf numFmtId="0" fontId="0" fillId="0" borderId="0" xfId="0"/>
    <xf numFmtId="0" fontId="28" fillId="2" borderId="2" xfId="0" applyFont="1" applyFill="1" applyBorder="1" applyAlignment="1" applyProtection="1">
      <alignment horizontal="right"/>
      <protection hidden="1"/>
    </xf>
    <xf numFmtId="0" fontId="0" fillId="0" borderId="0" xfId="0"/>
    <xf numFmtId="186" fontId="2" fillId="7" borderId="5" xfId="2" applyNumberFormat="1" applyFont="1" applyFill="1" applyBorder="1" applyAlignment="1" applyProtection="1">
      <alignment horizontal="center"/>
      <protection hidden="1"/>
    </xf>
    <xf numFmtId="0" fontId="0" fillId="2" borderId="0" xfId="0" applyFill="1" applyProtection="1">
      <protection hidden="1"/>
    </xf>
    <xf numFmtId="0" fontId="0" fillId="0" borderId="0" xfId="0"/>
    <xf numFmtId="0" fontId="1" fillId="2" borderId="0" xfId="0" applyFont="1" applyFill="1" applyBorder="1" applyProtection="1">
      <protection hidden="1"/>
    </xf>
    <xf numFmtId="0" fontId="47" fillId="7" borderId="0" xfId="0" applyFont="1" applyFill="1" applyBorder="1" applyAlignment="1" applyProtection="1">
      <alignment horizontal="center"/>
      <protection hidden="1"/>
    </xf>
    <xf numFmtId="178" fontId="2" fillId="7" borderId="0" xfId="0" applyNumberFormat="1" applyFont="1" applyFill="1" applyBorder="1" applyAlignment="1" applyProtection="1">
      <alignment horizontal="left"/>
      <protection hidden="1"/>
    </xf>
    <xf numFmtId="0" fontId="24" fillId="7" borderId="0" xfId="0" applyFont="1" applyFill="1" applyBorder="1" applyAlignment="1" applyProtection="1">
      <alignment horizontal="center"/>
      <protection hidden="1"/>
    </xf>
    <xf numFmtId="0" fontId="2" fillId="9" borderId="26" xfId="0" applyFont="1" applyFill="1" applyBorder="1" applyAlignment="1" applyProtection="1">
      <alignment horizontal="center"/>
      <protection locked="0"/>
    </xf>
    <xf numFmtId="0" fontId="0" fillId="7" borderId="0" xfId="0" applyFill="1" applyBorder="1" applyAlignment="1">
      <alignment horizontal="left"/>
    </xf>
    <xf numFmtId="0" fontId="2" fillId="9" borderId="26" xfId="0" applyFont="1" applyFill="1" applyBorder="1" applyAlignment="1" applyProtection="1">
      <alignment horizontal="center"/>
      <protection hidden="1"/>
    </xf>
    <xf numFmtId="0" fontId="0" fillId="7" borderId="0" xfId="0" applyFill="1" applyBorder="1" applyAlignment="1" applyProtection="1">
      <alignment horizontal="left"/>
      <protection hidden="1"/>
    </xf>
    <xf numFmtId="0" fontId="5" fillId="9" borderId="26" xfId="0" applyFont="1" applyFill="1" applyBorder="1" applyAlignment="1" applyProtection="1">
      <alignment horizontal="center"/>
      <protection locked="0"/>
    </xf>
    <xf numFmtId="178" fontId="2" fillId="9" borderId="26" xfId="0" applyNumberFormat="1" applyFont="1" applyFill="1" applyBorder="1" applyAlignment="1" applyProtection="1">
      <alignment horizontal="center"/>
      <protection locked="0"/>
    </xf>
    <xf numFmtId="0" fontId="24" fillId="7" borderId="5" xfId="0" applyFont="1" applyFill="1" applyBorder="1" applyAlignment="1" applyProtection="1">
      <alignment horizontal="center"/>
      <protection hidden="1"/>
    </xf>
    <xf numFmtId="0" fontId="0" fillId="7" borderId="3" xfId="0" applyFill="1" applyBorder="1"/>
    <xf numFmtId="0" fontId="1" fillId="7" borderId="57" xfId="0" applyFont="1" applyFill="1" applyBorder="1"/>
    <xf numFmtId="0" fontId="1" fillId="7" borderId="58" xfId="0" applyFont="1" applyFill="1" applyBorder="1"/>
    <xf numFmtId="0" fontId="1" fillId="7" borderId="58" xfId="0" applyFont="1" applyFill="1" applyBorder="1" applyAlignment="1"/>
    <xf numFmtId="0" fontId="1" fillId="7" borderId="61" xfId="0" applyFont="1" applyFill="1" applyBorder="1" applyAlignment="1"/>
    <xf numFmtId="0" fontId="1" fillId="7" borderId="58" xfId="0" applyFont="1" applyFill="1" applyBorder="1" applyAlignment="1">
      <alignment vertical="top"/>
    </xf>
    <xf numFmtId="0" fontId="0" fillId="7" borderId="1" xfId="0" applyFill="1" applyBorder="1"/>
    <xf numFmtId="178" fontId="2" fillId="7" borderId="0" xfId="0" applyNumberFormat="1" applyFont="1" applyFill="1" applyBorder="1" applyAlignment="1" applyProtection="1">
      <alignment horizontal="center"/>
      <protection hidden="1"/>
    </xf>
    <xf numFmtId="0" fontId="2" fillId="7" borderId="2" xfId="0" applyFont="1" applyFill="1" applyBorder="1" applyAlignment="1" applyProtection="1">
      <alignment horizontal="left"/>
      <protection hidden="1"/>
    </xf>
    <xf numFmtId="0" fontId="10" fillId="7" borderId="0" xfId="0" applyFont="1" applyFill="1" applyBorder="1" applyAlignment="1" applyProtection="1">
      <alignment horizontal="center"/>
      <protection hidden="1"/>
    </xf>
    <xf numFmtId="1" fontId="1" fillId="7" borderId="3" xfId="0" applyNumberFormat="1" applyFont="1" applyFill="1" applyBorder="1" applyAlignment="1">
      <alignment horizontal="center"/>
    </xf>
    <xf numFmtId="0" fontId="44" fillId="2" borderId="0" xfId="0" applyFont="1" applyFill="1" applyBorder="1" applyProtection="1">
      <protection hidden="1"/>
    </xf>
    <xf numFmtId="0" fontId="2" fillId="2" borderId="3" xfId="0" applyFont="1" applyFill="1" applyBorder="1" applyAlignment="1" applyProtection="1">
      <alignment horizontal="center"/>
      <protection hidden="1"/>
    </xf>
    <xf numFmtId="0" fontId="2" fillId="2" borderId="1" xfId="0" applyFont="1" applyFill="1" applyBorder="1" applyAlignment="1" applyProtection="1">
      <alignment horizontal="center"/>
      <protection hidden="1"/>
    </xf>
    <xf numFmtId="0" fontId="55" fillId="7" borderId="2" xfId="0" applyFont="1" applyFill="1" applyBorder="1" applyAlignment="1" applyProtection="1">
      <alignment horizontal="center"/>
      <protection hidden="1"/>
    </xf>
    <xf numFmtId="0" fontId="55" fillId="7" borderId="0" xfId="0" applyFont="1" applyFill="1" applyBorder="1" applyAlignment="1" applyProtection="1">
      <alignment horizontal="center"/>
      <protection hidden="1"/>
    </xf>
    <xf numFmtId="1" fontId="55" fillId="7" borderId="0" xfId="0" applyNumberFormat="1" applyFont="1" applyFill="1" applyBorder="1" applyAlignment="1" applyProtection="1">
      <alignment horizontal="center"/>
      <protection hidden="1"/>
    </xf>
    <xf numFmtId="0" fontId="10" fillId="2" borderId="2" xfId="0" applyFont="1" applyFill="1" applyBorder="1" applyAlignment="1" applyProtection="1">
      <alignment horizontal="left"/>
      <protection hidden="1"/>
    </xf>
    <xf numFmtId="0" fontId="0" fillId="0" borderId="0" xfId="0"/>
    <xf numFmtId="0" fontId="59" fillId="5" borderId="19" xfId="5" applyFont="1" applyFill="1" applyBorder="1" applyAlignment="1" applyProtection="1">
      <alignment horizontal="center" vertical="center" wrapText="1"/>
    </xf>
    <xf numFmtId="0" fontId="59" fillId="0" borderId="24" xfId="5" applyFont="1" applyBorder="1" applyAlignment="1">
      <alignment horizontal="center" wrapText="1"/>
    </xf>
    <xf numFmtId="0" fontId="59" fillId="0" borderId="62" xfId="5" applyFont="1" applyBorder="1" applyAlignment="1">
      <alignment horizontal="center" wrapText="1"/>
    </xf>
    <xf numFmtId="0" fontId="59" fillId="0" borderId="63" xfId="5" applyFont="1" applyBorder="1" applyAlignment="1">
      <alignment horizontal="center" wrapText="1"/>
    </xf>
    <xf numFmtId="0" fontId="1" fillId="0" borderId="0" xfId="0" applyFont="1"/>
    <xf numFmtId="0" fontId="0" fillId="0" borderId="0" xfId="0" applyAlignment="1">
      <alignment vertical="top"/>
    </xf>
    <xf numFmtId="0" fontId="0" fillId="0" borderId="0" xfId="0"/>
    <xf numFmtId="0" fontId="1" fillId="0" borderId="1" xfId="0" applyFont="1" applyFill="1" applyBorder="1" applyAlignment="1" applyProtection="1">
      <alignment vertical="top" wrapText="1"/>
      <protection hidden="1"/>
    </xf>
    <xf numFmtId="0" fontId="1" fillId="0" borderId="3" xfId="0" applyFont="1" applyFill="1" applyBorder="1" applyAlignment="1" applyProtection="1">
      <alignment vertical="top" wrapText="1"/>
      <protection hidden="1"/>
    </xf>
    <xf numFmtId="0" fontId="1" fillId="0" borderId="0" xfId="0" applyFont="1" applyFill="1" applyAlignment="1" applyProtection="1">
      <alignment horizontal="center" vertical="top" wrapText="1"/>
      <protection hidden="1"/>
    </xf>
    <xf numFmtId="0" fontId="1" fillId="4" borderId="0" xfId="0" applyFont="1" applyFill="1" applyAlignment="1" applyProtection="1">
      <alignment horizontal="center" vertical="top" wrapText="1"/>
      <protection hidden="1"/>
    </xf>
    <xf numFmtId="0" fontId="6" fillId="0" borderId="0" xfId="0" applyFont="1" applyFill="1" applyBorder="1" applyAlignment="1" applyProtection="1">
      <alignment horizontal="center"/>
      <protection hidden="1"/>
    </xf>
    <xf numFmtId="194" fontId="6" fillId="0" borderId="0" xfId="2" applyNumberFormat="1" applyFont="1" applyFill="1" applyBorder="1" applyAlignment="1" applyProtection="1">
      <alignment horizontal="center" vertical="center"/>
      <protection hidden="1"/>
    </xf>
    <xf numFmtId="7" fontId="6" fillId="0" borderId="0" xfId="2" applyNumberFormat="1" applyFont="1" applyFill="1" applyBorder="1" applyAlignment="1" applyProtection="1">
      <alignment horizontal="center" vertical="center"/>
      <protection hidden="1"/>
    </xf>
    <xf numFmtId="0" fontId="1" fillId="0" borderId="0" xfId="0" applyFont="1" applyFill="1" applyAlignment="1" applyProtection="1">
      <alignment vertical="top"/>
      <protection hidden="1"/>
    </xf>
    <xf numFmtId="0" fontId="0" fillId="7" borderId="4" xfId="0" applyFill="1" applyBorder="1" applyAlignment="1"/>
    <xf numFmtId="0" fontId="0" fillId="0" borderId="0" xfId="0" applyAlignment="1">
      <alignment horizontal="center"/>
    </xf>
    <xf numFmtId="0" fontId="2" fillId="2" borderId="2" xfId="0" applyFont="1" applyFill="1" applyBorder="1" applyAlignment="1" applyProtection="1">
      <alignment horizontal="left"/>
      <protection hidden="1"/>
    </xf>
    <xf numFmtId="0" fontId="0" fillId="7" borderId="3" xfId="0" applyFill="1" applyBorder="1" applyAlignment="1" applyProtection="1">
      <protection hidden="1"/>
    </xf>
    <xf numFmtId="0" fontId="0" fillId="0" borderId="0" xfId="0"/>
    <xf numFmtId="0" fontId="35" fillId="2" borderId="0" xfId="0" applyFont="1" applyFill="1" applyBorder="1" applyAlignment="1" applyProtection="1">
      <alignment wrapText="1"/>
      <protection hidden="1"/>
    </xf>
    <xf numFmtId="0" fontId="35" fillId="2" borderId="5" xfId="0" applyFont="1" applyFill="1" applyBorder="1" applyAlignment="1" applyProtection="1">
      <alignment wrapText="1"/>
      <protection hidden="1"/>
    </xf>
    <xf numFmtId="0" fontId="19" fillId="6" borderId="31" xfId="0" applyFont="1" applyFill="1" applyBorder="1" applyAlignment="1" applyProtection="1">
      <alignment horizontal="center" vertical="center"/>
      <protection locked="0"/>
    </xf>
    <xf numFmtId="0" fontId="1" fillId="7" borderId="5" xfId="0" applyFont="1" applyFill="1" applyBorder="1" applyAlignment="1" applyProtection="1">
      <protection hidden="1"/>
    </xf>
    <xf numFmtId="0" fontId="0" fillId="7" borderId="0" xfId="0" applyFill="1" applyAlignment="1">
      <alignment wrapText="1"/>
    </xf>
    <xf numFmtId="0" fontId="0" fillId="0" borderId="0" xfId="0" applyAlignment="1">
      <alignment vertical="top"/>
    </xf>
    <xf numFmtId="0" fontId="0" fillId="7" borderId="0" xfId="0" applyFill="1" applyAlignment="1">
      <alignment horizontal="left" wrapText="1"/>
    </xf>
    <xf numFmtId="49" fontId="13" fillId="7" borderId="0" xfId="0" applyNumberFormat="1" applyFont="1" applyFill="1" applyAlignment="1" applyProtection="1">
      <alignment vertical="top"/>
      <protection hidden="1"/>
    </xf>
    <xf numFmtId="9" fontId="23" fillId="7" borderId="0" xfId="0" applyNumberFormat="1" applyFont="1" applyFill="1" applyBorder="1" applyAlignment="1" applyProtection="1">
      <alignment horizontal="center" vertical="top"/>
      <protection hidden="1"/>
    </xf>
    <xf numFmtId="0" fontId="23" fillId="7" borderId="0" xfId="0" applyFont="1" applyFill="1" applyAlignment="1" applyProtection="1">
      <alignment horizontal="center" vertical="top"/>
      <protection hidden="1"/>
    </xf>
    <xf numFmtId="0" fontId="0" fillId="7" borderId="28" xfId="0" applyFill="1" applyBorder="1" applyAlignment="1" applyProtection="1">
      <alignment horizontal="left" vertical="top"/>
      <protection hidden="1"/>
    </xf>
    <xf numFmtId="0" fontId="0" fillId="7" borderId="27" xfId="0" applyFill="1" applyBorder="1" applyAlignment="1" applyProtection="1">
      <alignment horizontal="right" vertical="top"/>
      <protection hidden="1"/>
    </xf>
    <xf numFmtId="0" fontId="0" fillId="7" borderId="2" xfId="0" applyFill="1" applyBorder="1" applyProtection="1">
      <protection hidden="1"/>
    </xf>
    <xf numFmtId="0" fontId="0" fillId="7" borderId="0" xfId="0" applyFill="1" applyBorder="1" applyAlignment="1" applyProtection="1">
      <alignment horizontal="left" vertical="top"/>
      <protection hidden="1"/>
    </xf>
    <xf numFmtId="0" fontId="0" fillId="7" borderId="0" xfId="0" applyFill="1" applyBorder="1" applyAlignment="1" applyProtection="1">
      <alignment horizontal="center" vertical="top"/>
      <protection hidden="1"/>
    </xf>
    <xf numFmtId="0" fontId="0" fillId="7" borderId="0" xfId="0" applyNumberFormat="1" applyFill="1" applyBorder="1" applyAlignment="1" applyProtection="1">
      <alignment horizontal="left" vertical="center"/>
      <protection hidden="1"/>
    </xf>
    <xf numFmtId="0" fontId="0" fillId="7" borderId="0" xfId="0" applyNumberFormat="1" applyFill="1" applyBorder="1" applyAlignment="1" applyProtection="1">
      <alignment horizontal="right"/>
      <protection hidden="1"/>
    </xf>
    <xf numFmtId="0" fontId="2" fillId="7" borderId="0" xfId="0" applyFont="1" applyFill="1" applyBorder="1" applyAlignment="1"/>
    <xf numFmtId="44" fontId="2" fillId="7" borderId="5" xfId="0" applyNumberFormat="1" applyFont="1" applyFill="1" applyBorder="1" applyAlignment="1" applyProtection="1">
      <alignment horizontal="center" vertical="top"/>
      <protection hidden="1"/>
    </xf>
    <xf numFmtId="187" fontId="2" fillId="7" borderId="5" xfId="2" applyNumberFormat="1" applyFont="1" applyFill="1" applyBorder="1" applyAlignment="1" applyProtection="1">
      <alignment horizontal="center" wrapText="1"/>
      <protection hidden="1"/>
    </xf>
    <xf numFmtId="0" fontId="0" fillId="7" borderId="0" xfId="0" applyFill="1" applyBorder="1" applyAlignment="1" applyProtection="1">
      <alignment horizontal="center"/>
      <protection hidden="1"/>
    </xf>
    <xf numFmtId="44" fontId="2" fillId="7" borderId="0" xfId="2" applyFont="1" applyFill="1" applyBorder="1" applyAlignment="1" applyProtection="1">
      <alignment horizontal="center"/>
      <protection hidden="1"/>
    </xf>
    <xf numFmtId="185" fontId="2" fillId="7" borderId="5" xfId="2" applyNumberFormat="1" applyFont="1" applyFill="1" applyBorder="1" applyAlignment="1" applyProtection="1">
      <alignment horizontal="center" wrapText="1"/>
      <protection hidden="1"/>
    </xf>
    <xf numFmtId="0" fontId="0" fillId="7" borderId="0" xfId="0" applyFill="1" applyAlignment="1" applyProtection="1">
      <alignment horizontal="center" wrapText="1"/>
      <protection hidden="1"/>
    </xf>
    <xf numFmtId="189" fontId="1" fillId="7" borderId="0" xfId="0" applyNumberFormat="1" applyFont="1" applyFill="1" applyBorder="1" applyAlignment="1" applyProtection="1">
      <alignment horizontal="left"/>
      <protection hidden="1"/>
    </xf>
    <xf numFmtId="189" fontId="0" fillId="7" borderId="0" xfId="0" applyNumberFormat="1" applyFill="1" applyBorder="1" applyAlignment="1" applyProtection="1">
      <alignment horizontal="center"/>
      <protection hidden="1"/>
    </xf>
    <xf numFmtId="0" fontId="0" fillId="0" borderId="0" xfId="0" applyAlignment="1">
      <alignment vertical="top"/>
    </xf>
    <xf numFmtId="0" fontId="1" fillId="8" borderId="26" xfId="0" applyFont="1" applyFill="1" applyBorder="1" applyAlignment="1" applyProtection="1">
      <alignment horizontal="center" vertical="center"/>
      <protection locked="0"/>
    </xf>
    <xf numFmtId="0" fontId="1" fillId="0" borderId="0" xfId="0" applyFont="1" applyFill="1" applyAlignment="1" applyProtection="1">
      <alignment vertical="top" wrapText="1"/>
      <protection hidden="1"/>
    </xf>
    <xf numFmtId="0" fontId="0" fillId="7" borderId="0" xfId="0" applyFill="1"/>
    <xf numFmtId="168" fontId="2" fillId="7" borderId="0" xfId="0" applyNumberFormat="1" applyFont="1" applyFill="1" applyBorder="1" applyAlignment="1" applyProtection="1">
      <alignment horizontal="center" vertical="top"/>
      <protection hidden="1"/>
    </xf>
    <xf numFmtId="168" fontId="0" fillId="7" borderId="0" xfId="0" applyNumberFormat="1" applyFill="1" applyBorder="1" applyAlignment="1" applyProtection="1">
      <alignment vertical="top"/>
      <protection hidden="1"/>
    </xf>
    <xf numFmtId="189" fontId="2" fillId="7" borderId="0" xfId="0" applyNumberFormat="1" applyFont="1" applyFill="1" applyBorder="1" applyAlignment="1" applyProtection="1">
      <alignment horizontal="center" vertical="top"/>
      <protection hidden="1"/>
    </xf>
    <xf numFmtId="0" fontId="0" fillId="0" borderId="0" xfId="0" applyAlignment="1">
      <alignment vertical="top"/>
    </xf>
    <xf numFmtId="0" fontId="0" fillId="0" borderId="0" xfId="0"/>
    <xf numFmtId="12" fontId="2" fillId="8" borderId="26" xfId="0" applyNumberFormat="1" applyFont="1" applyFill="1" applyBorder="1" applyAlignment="1" applyProtection="1">
      <alignment horizontal="center"/>
      <protection locked="0"/>
    </xf>
    <xf numFmtId="168" fontId="2" fillId="7" borderId="0" xfId="0" applyNumberFormat="1" applyFont="1" applyFill="1" applyBorder="1" applyAlignment="1" applyProtection="1">
      <alignment horizontal="center"/>
      <protection hidden="1"/>
    </xf>
    <xf numFmtId="0" fontId="0" fillId="0" borderId="0" xfId="0" applyAlignment="1">
      <alignment vertical="top"/>
    </xf>
    <xf numFmtId="0" fontId="1" fillId="7" borderId="64" xfId="0" applyFont="1" applyFill="1" applyBorder="1"/>
    <xf numFmtId="0" fontId="0" fillId="0" borderId="0" xfId="0"/>
    <xf numFmtId="0" fontId="1" fillId="0" borderId="0" xfId="0" applyFont="1" applyFill="1" applyBorder="1" applyAlignment="1" applyProtection="1">
      <protection hidden="1"/>
    </xf>
    <xf numFmtId="0" fontId="1" fillId="7" borderId="0" xfId="0" applyFont="1" applyFill="1" applyBorder="1" applyAlignment="1"/>
    <xf numFmtId="0" fontId="0" fillId="7" borderId="68" xfId="0" applyFill="1" applyBorder="1" applyProtection="1">
      <protection hidden="1"/>
    </xf>
    <xf numFmtId="0" fontId="2" fillId="7" borderId="47" xfId="0" applyFont="1" applyFill="1" applyBorder="1" applyAlignment="1" applyProtection="1">
      <alignment horizontal="center"/>
    </xf>
    <xf numFmtId="0" fontId="0" fillId="7" borderId="3" xfId="0" applyFill="1" applyBorder="1" applyProtection="1">
      <protection hidden="1"/>
    </xf>
    <xf numFmtId="0" fontId="1" fillId="0" borderId="61" xfId="0" applyFont="1" applyFill="1" applyBorder="1" applyProtection="1">
      <protection hidden="1"/>
    </xf>
    <xf numFmtId="0" fontId="2" fillId="7" borderId="53" xfId="0" applyFont="1" applyFill="1" applyBorder="1" applyAlignment="1" applyProtection="1">
      <alignment horizontal="center"/>
    </xf>
    <xf numFmtId="0" fontId="2" fillId="7" borderId="71" xfId="0" applyFont="1" applyFill="1" applyBorder="1" applyAlignment="1" applyProtection="1">
      <alignment horizontal="center"/>
      <protection hidden="1"/>
    </xf>
    <xf numFmtId="0" fontId="2" fillId="7" borderId="72" xfId="0" applyFont="1" applyFill="1" applyBorder="1" applyAlignment="1" applyProtection="1">
      <alignment horizontal="center"/>
      <protection hidden="1"/>
    </xf>
    <xf numFmtId="0" fontId="2" fillId="7" borderId="67" xfId="0" applyFont="1" applyFill="1" applyBorder="1" applyAlignment="1" applyProtection="1">
      <alignment horizontal="center"/>
      <protection hidden="1"/>
    </xf>
    <xf numFmtId="0" fontId="2" fillId="7" borderId="53" xfId="0" applyFont="1" applyFill="1" applyBorder="1" applyAlignment="1" applyProtection="1">
      <alignment horizontal="center"/>
      <protection hidden="1"/>
    </xf>
    <xf numFmtId="0" fontId="2" fillId="7" borderId="66" xfId="0" applyFont="1" applyFill="1" applyBorder="1" applyAlignment="1" applyProtection="1">
      <alignment horizontal="center"/>
      <protection hidden="1"/>
    </xf>
    <xf numFmtId="0" fontId="2" fillId="7" borderId="47" xfId="0" applyFont="1" applyFill="1" applyBorder="1" applyAlignment="1" applyProtection="1">
      <alignment horizontal="center"/>
      <protection hidden="1"/>
    </xf>
    <xf numFmtId="0" fontId="2" fillId="7" borderId="69" xfId="0" applyFont="1" applyFill="1" applyBorder="1" applyAlignment="1" applyProtection="1">
      <alignment horizontal="center"/>
      <protection hidden="1"/>
    </xf>
    <xf numFmtId="0" fontId="2" fillId="7" borderId="50" xfId="0" applyFont="1" applyFill="1" applyBorder="1" applyAlignment="1" applyProtection="1">
      <alignment horizontal="center"/>
      <protection hidden="1"/>
    </xf>
    <xf numFmtId="49" fontId="2" fillId="7" borderId="0" xfId="0" applyNumberFormat="1" applyFont="1" applyFill="1" applyBorder="1" applyAlignment="1" applyProtection="1">
      <alignment horizontal="center"/>
      <protection hidden="1"/>
    </xf>
    <xf numFmtId="49" fontId="2" fillId="7" borderId="69" xfId="0" applyNumberFormat="1" applyFont="1" applyFill="1" applyBorder="1" applyAlignment="1" applyProtection="1">
      <alignment horizontal="center"/>
      <protection hidden="1"/>
    </xf>
    <xf numFmtId="49" fontId="2" fillId="7" borderId="50" xfId="0" applyNumberFormat="1" applyFont="1" applyFill="1" applyBorder="1" applyAlignment="1" applyProtection="1">
      <alignment horizontal="center"/>
      <protection hidden="1"/>
    </xf>
    <xf numFmtId="0" fontId="2" fillId="7" borderId="0" xfId="0" applyNumberFormat="1" applyFont="1" applyFill="1" applyBorder="1" applyAlignment="1" applyProtection="1">
      <alignment horizontal="center"/>
      <protection hidden="1"/>
    </xf>
    <xf numFmtId="0" fontId="2" fillId="7" borderId="69" xfId="0" applyNumberFormat="1" applyFont="1" applyFill="1" applyBorder="1" applyAlignment="1" applyProtection="1">
      <alignment horizontal="center"/>
      <protection hidden="1"/>
    </xf>
    <xf numFmtId="0" fontId="2" fillId="7" borderId="50" xfId="0" applyNumberFormat="1" applyFont="1" applyFill="1" applyBorder="1" applyAlignment="1" applyProtection="1">
      <alignment horizontal="center"/>
      <protection hidden="1"/>
    </xf>
    <xf numFmtId="0" fontId="54" fillId="7" borderId="0" xfId="3" applyFont="1" applyFill="1" applyBorder="1" applyAlignment="1" applyProtection="1">
      <alignment horizontal="center"/>
      <protection hidden="1"/>
    </xf>
    <xf numFmtId="0" fontId="2" fillId="7" borderId="69" xfId="0" applyFont="1" applyFill="1" applyBorder="1" applyAlignment="1" applyProtection="1">
      <alignment vertical="top" wrapText="1"/>
      <protection hidden="1"/>
    </xf>
    <xf numFmtId="0" fontId="2" fillId="7" borderId="50" xfId="0" applyFont="1" applyFill="1" applyBorder="1" applyAlignment="1" applyProtection="1">
      <alignment vertical="top" wrapText="1"/>
      <protection hidden="1"/>
    </xf>
    <xf numFmtId="8" fontId="2" fillId="7" borderId="0" xfId="0" applyNumberFormat="1" applyFont="1" applyFill="1" applyBorder="1" applyAlignment="1" applyProtection="1">
      <alignment horizontal="center"/>
      <protection hidden="1"/>
    </xf>
    <xf numFmtId="8" fontId="2" fillId="7" borderId="70" xfId="0" applyNumberFormat="1" applyFont="1" applyFill="1" applyBorder="1" applyAlignment="1" applyProtection="1">
      <alignment horizontal="center"/>
      <protection hidden="1"/>
    </xf>
    <xf numFmtId="8" fontId="2" fillId="7" borderId="65" xfId="0" applyNumberFormat="1" applyFont="1" applyFill="1" applyBorder="1" applyAlignment="1" applyProtection="1">
      <alignment horizontal="center"/>
      <protection hidden="1"/>
    </xf>
    <xf numFmtId="194" fontId="2" fillId="0" borderId="0" xfId="0" applyNumberFormat="1" applyFont="1" applyFill="1" applyBorder="1" applyAlignment="1" applyProtection="1">
      <alignment horizontal="center"/>
      <protection hidden="1"/>
    </xf>
    <xf numFmtId="194" fontId="2" fillId="0" borderId="67" xfId="0" applyNumberFormat="1" applyFont="1" applyFill="1" applyBorder="1" applyAlignment="1" applyProtection="1">
      <alignment horizontal="center"/>
      <protection hidden="1"/>
    </xf>
    <xf numFmtId="0" fontId="1" fillId="0" borderId="1" xfId="0" applyFont="1" applyBorder="1" applyAlignment="1">
      <alignment horizontal="center"/>
    </xf>
    <xf numFmtId="165" fontId="2" fillId="0" borderId="1" xfId="0" applyNumberFormat="1" applyFont="1" applyBorder="1" applyAlignment="1">
      <alignment horizontal="center" wrapText="1"/>
    </xf>
    <xf numFmtId="0" fontId="2" fillId="7" borderId="69" xfId="0" applyFont="1" applyFill="1" applyBorder="1" applyAlignment="1" applyProtection="1">
      <alignment vertical="top"/>
      <protection hidden="1"/>
    </xf>
    <xf numFmtId="0" fontId="2" fillId="7" borderId="50" xfId="0" applyFont="1" applyFill="1" applyBorder="1" applyAlignment="1" applyProtection="1">
      <alignment vertical="top"/>
      <protection hidden="1"/>
    </xf>
    <xf numFmtId="1" fontId="37" fillId="0" borderId="26" xfId="5" applyNumberFormat="1" applyFont="1" applyBorder="1" applyAlignment="1">
      <alignment horizontal="right" vertical="center"/>
    </xf>
    <xf numFmtId="192" fontId="37" fillId="0" borderId="26" xfId="5" applyNumberFormat="1" applyFont="1" applyBorder="1" applyAlignment="1">
      <alignment vertical="center"/>
    </xf>
    <xf numFmtId="0" fontId="51" fillId="7" borderId="0" xfId="0" applyFont="1" applyFill="1" applyProtection="1">
      <protection hidden="1"/>
    </xf>
    <xf numFmtId="0" fontId="26" fillId="7" borderId="69" xfId="3" applyFill="1" applyBorder="1" applyAlignment="1" applyProtection="1">
      <alignment horizontal="center"/>
      <protection hidden="1"/>
    </xf>
    <xf numFmtId="0" fontId="26" fillId="7" borderId="50" xfId="3" applyFill="1" applyBorder="1" applyAlignment="1" applyProtection="1">
      <alignment horizontal="center"/>
      <protection hidden="1"/>
    </xf>
    <xf numFmtId="43" fontId="12" fillId="2" borderId="0" xfId="2" applyNumberFormat="1" applyFont="1" applyFill="1" applyBorder="1" applyAlignment="1" applyProtection="1">
      <alignment wrapText="1"/>
      <protection hidden="1"/>
    </xf>
    <xf numFmtId="0" fontId="0" fillId="0" borderId="76" xfId="0" applyBorder="1"/>
    <xf numFmtId="0" fontId="4" fillId="12" borderId="21" xfId="0" applyFont="1" applyFill="1" applyBorder="1" applyAlignment="1" applyProtection="1">
      <alignment vertical="center"/>
      <protection hidden="1"/>
    </xf>
    <xf numFmtId="0" fontId="26" fillId="7" borderId="0" xfId="3" applyFill="1" applyAlignment="1" applyProtection="1">
      <alignment horizontal="left" indent="1"/>
      <protection locked="0"/>
    </xf>
    <xf numFmtId="0" fontId="0" fillId="12" borderId="21" xfId="0" applyFill="1" applyBorder="1" applyAlignment="1">
      <alignment vertical="center"/>
    </xf>
    <xf numFmtId="0" fontId="0" fillId="0" borderId="0" xfId="0"/>
    <xf numFmtId="0" fontId="1" fillId="2" borderId="3" xfId="0" applyFont="1" applyFill="1" applyBorder="1" applyAlignment="1" applyProtection="1">
      <alignment horizontal="center"/>
      <protection hidden="1"/>
    </xf>
    <xf numFmtId="0" fontId="1" fillId="2" borderId="34" xfId="0" applyFont="1" applyFill="1" applyBorder="1" applyAlignment="1" applyProtection="1">
      <alignment horizontal="center"/>
      <protection hidden="1"/>
    </xf>
    <xf numFmtId="0" fontId="0" fillId="0" borderId="0" xfId="0" applyAlignment="1">
      <alignment vertical="top"/>
    </xf>
    <xf numFmtId="0" fontId="26" fillId="7" borderId="0" xfId="3" applyFill="1" applyAlignment="1" applyProtection="1">
      <alignment horizontal="left" indent="1"/>
    </xf>
    <xf numFmtId="49" fontId="1" fillId="7" borderId="0" xfId="0" applyNumberFormat="1" applyFont="1" applyFill="1" applyAlignment="1" applyProtection="1">
      <protection hidden="1"/>
    </xf>
    <xf numFmtId="0" fontId="26" fillId="0" borderId="0" xfId="3" applyAlignment="1" applyProtection="1">
      <alignment horizontal="left" indent="1"/>
      <protection locked="0" hidden="1"/>
    </xf>
    <xf numFmtId="0" fontId="2" fillId="7" borderId="3" xfId="0" applyFont="1" applyFill="1" applyBorder="1" applyAlignment="1" applyProtection="1">
      <alignment horizontal="right"/>
      <protection hidden="1"/>
    </xf>
    <xf numFmtId="0" fontId="0" fillId="0" borderId="0" xfId="0"/>
    <xf numFmtId="0" fontId="2" fillId="0" borderId="0" xfId="0" applyFont="1" applyAlignment="1">
      <alignment horizontal="right"/>
    </xf>
    <xf numFmtId="0" fontId="0" fillId="0" borderId="0" xfId="0"/>
    <xf numFmtId="0" fontId="2" fillId="0" borderId="0" xfId="0" applyFont="1"/>
    <xf numFmtId="0" fontId="0" fillId="0" borderId="0" xfId="0"/>
    <xf numFmtId="178" fontId="0" fillId="7" borderId="0" xfId="0" applyNumberFormat="1" applyFill="1"/>
    <xf numFmtId="0" fontId="0" fillId="0" borderId="0" xfId="0"/>
    <xf numFmtId="0" fontId="13" fillId="0" borderId="0" xfId="0" applyFont="1" applyProtection="1">
      <protection hidden="1"/>
    </xf>
    <xf numFmtId="0" fontId="2" fillId="0" borderId="0" xfId="0" applyFont="1" applyAlignment="1" applyProtection="1">
      <alignment horizontal="center" vertical="center" wrapText="1"/>
      <protection hidden="1"/>
    </xf>
    <xf numFmtId="0" fontId="5" fillId="0" borderId="0" xfId="0" applyFont="1" applyAlignment="1" applyProtection="1">
      <alignment horizontal="center" wrapText="1"/>
      <protection hidden="1"/>
    </xf>
    <xf numFmtId="12" fontId="2" fillId="0" borderId="26" xfId="6" applyNumberFormat="1" applyFont="1" applyBorder="1" applyAlignment="1" applyProtection="1">
      <alignment horizontal="center"/>
      <protection hidden="1"/>
    </xf>
    <xf numFmtId="0" fontId="8" fillId="3" borderId="27" xfId="0" applyFont="1" applyFill="1" applyBorder="1" applyAlignment="1" applyProtection="1">
      <alignment horizontal="center" wrapText="1"/>
      <protection hidden="1"/>
    </xf>
    <xf numFmtId="0" fontId="8" fillId="3" borderId="26" xfId="0" applyFont="1" applyFill="1" applyBorder="1" applyAlignment="1" applyProtection="1">
      <alignment horizontal="center" wrapText="1"/>
      <protection hidden="1"/>
    </xf>
    <xf numFmtId="0" fontId="8" fillId="3" borderId="26" xfId="0" applyFont="1" applyFill="1" applyBorder="1" applyAlignment="1" applyProtection="1">
      <alignment horizontal="center"/>
      <protection hidden="1"/>
    </xf>
    <xf numFmtId="166" fontId="8" fillId="3" borderId="27" xfId="0" applyNumberFormat="1" applyFont="1" applyFill="1" applyBorder="1" applyAlignment="1" applyProtection="1">
      <alignment horizontal="center" vertical="center"/>
      <protection hidden="1"/>
    </xf>
    <xf numFmtId="166" fontId="8" fillId="3" borderId="26" xfId="0" applyNumberFormat="1"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wrapText="1"/>
      <protection hidden="1"/>
    </xf>
    <xf numFmtId="12" fontId="8" fillId="3" borderId="26" xfId="0" applyNumberFormat="1" applyFont="1" applyFill="1" applyBorder="1" applyAlignment="1" applyProtection="1">
      <alignment horizontal="center" vertical="center"/>
      <protection hidden="1"/>
    </xf>
    <xf numFmtId="1" fontId="0" fillId="0" borderId="0" xfId="0" applyNumberFormat="1" applyAlignment="1" applyProtection="1">
      <alignment horizontal="center"/>
      <protection hidden="1"/>
    </xf>
    <xf numFmtId="166" fontId="8" fillId="2" borderId="0" xfId="0" applyNumberFormat="1" applyFont="1" applyFill="1" applyAlignment="1" applyProtection="1">
      <alignment horizontal="center" vertical="center"/>
      <protection hidden="1"/>
    </xf>
    <xf numFmtId="166" fontId="0" fillId="2"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166" fontId="0" fillId="2" borderId="0" xfId="0" applyNumberFormat="1" applyFill="1" applyAlignment="1" applyProtection="1">
      <alignment horizontal="center" vertical="center"/>
      <protection hidden="1"/>
    </xf>
    <xf numFmtId="12" fontId="0" fillId="2" borderId="0" xfId="0" applyNumberFormat="1" applyFill="1" applyBorder="1" applyAlignment="1" applyProtection="1">
      <alignment horizontal="center" vertical="center"/>
      <protection hidden="1"/>
    </xf>
    <xf numFmtId="1" fontId="0" fillId="0" borderId="0" xfId="0" applyNumberFormat="1" applyProtection="1">
      <protection hidden="1"/>
    </xf>
    <xf numFmtId="12" fontId="0" fillId="0" borderId="26" xfId="0" applyNumberFormat="1" applyBorder="1" applyAlignment="1" applyProtection="1">
      <alignment horizontal="center" wrapText="1"/>
      <protection hidden="1"/>
    </xf>
    <xf numFmtId="1" fontId="0" fillId="0" borderId="0" xfId="0" applyNumberFormat="1" applyBorder="1" applyAlignment="1" applyProtection="1">
      <alignment horizontal="center" wrapText="1"/>
      <protection hidden="1"/>
    </xf>
    <xf numFmtId="166" fontId="13" fillId="0" borderId="26" xfId="0" applyNumberFormat="1" applyFont="1" applyBorder="1" applyAlignment="1" applyProtection="1">
      <alignment horizontal="center" vertical="center"/>
      <protection hidden="1"/>
    </xf>
    <xf numFmtId="0" fontId="0" fillId="0" borderId="26" xfId="0" applyNumberFormat="1" applyBorder="1" applyAlignment="1" applyProtection="1">
      <alignment horizontal="center" wrapText="1"/>
      <protection hidden="1"/>
    </xf>
    <xf numFmtId="0" fontId="0" fillId="0" borderId="0" xfId="0" applyAlignment="1" applyProtection="1">
      <alignment horizontal="center" wrapText="1"/>
      <protection hidden="1"/>
    </xf>
    <xf numFmtId="1" fontId="0" fillId="0" borderId="0" xfId="0" applyNumberFormat="1" applyAlignment="1" applyProtection="1">
      <alignment horizontal="center" wrapText="1"/>
      <protection hidden="1"/>
    </xf>
    <xf numFmtId="166" fontId="0" fillId="0" borderId="0" xfId="0" applyNumberFormat="1" applyBorder="1" applyAlignment="1" applyProtection="1">
      <alignment horizontal="center"/>
      <protection hidden="1"/>
    </xf>
    <xf numFmtId="12" fontId="2" fillId="0" borderId="0" xfId="0" applyNumberFormat="1" applyFont="1" applyBorder="1" applyAlignment="1" applyProtection="1">
      <alignment horizontal="center"/>
      <protection hidden="1"/>
    </xf>
    <xf numFmtId="166" fontId="0" fillId="0" borderId="0" xfId="0" applyNumberFormat="1" applyBorder="1" applyAlignment="1" applyProtection="1">
      <alignment horizontal="center" vertical="center"/>
      <protection hidden="1"/>
    </xf>
    <xf numFmtId="166" fontId="0" fillId="0" borderId="0" xfId="0" applyNumberFormat="1" applyBorder="1" applyAlignment="1" applyProtection="1">
      <alignment horizontal="center" wrapText="1"/>
      <protection hidden="1"/>
    </xf>
    <xf numFmtId="166" fontId="0" fillId="0" borderId="5" xfId="0" applyNumberFormat="1" applyBorder="1" applyAlignment="1" applyProtection="1">
      <alignment horizontal="center" wrapText="1"/>
      <protection hidden="1"/>
    </xf>
    <xf numFmtId="12" fontId="0" fillId="0" borderId="5" xfId="0" applyNumberFormat="1" applyBorder="1" applyAlignment="1" applyProtection="1">
      <alignment horizontal="center"/>
      <protection hidden="1"/>
    </xf>
    <xf numFmtId="12" fontId="2" fillId="0" borderId="5" xfId="0" applyNumberFormat="1" applyFont="1" applyBorder="1" applyAlignment="1" applyProtection="1">
      <alignment horizontal="center" vertical="center"/>
      <protection hidden="1"/>
    </xf>
    <xf numFmtId="12" fontId="0" fillId="0" borderId="5" xfId="0" applyNumberFormat="1" applyBorder="1" applyAlignment="1" applyProtection="1">
      <alignment horizontal="center" wrapText="1"/>
      <protection hidden="1"/>
    </xf>
    <xf numFmtId="1" fontId="0" fillId="0" borderId="5" xfId="0" applyNumberFormat="1" applyBorder="1" applyAlignment="1" applyProtection="1">
      <alignment horizontal="center" wrapText="1"/>
      <protection hidden="1"/>
    </xf>
    <xf numFmtId="166" fontId="0" fillId="0" borderId="0" xfId="0" applyNumberFormat="1" applyAlignment="1" applyProtection="1">
      <alignment horizontal="center" vertical="center"/>
      <protection hidden="1"/>
    </xf>
    <xf numFmtId="12" fontId="0" fillId="0" borderId="0" xfId="0" applyNumberFormat="1" applyBorder="1" applyAlignment="1" applyProtection="1">
      <alignment horizontal="center"/>
      <protection hidden="1"/>
    </xf>
    <xf numFmtId="166" fontId="2" fillId="0" borderId="0" xfId="0" applyNumberFormat="1" applyFont="1" applyBorder="1" applyAlignment="1" applyProtection="1">
      <alignment horizontal="center" vertical="center"/>
      <protection hidden="1"/>
    </xf>
    <xf numFmtId="12" fontId="0" fillId="0" borderId="0" xfId="0" applyNumberFormat="1" applyAlignment="1" applyProtection="1">
      <alignment horizontal="center"/>
      <protection hidden="1"/>
    </xf>
    <xf numFmtId="166" fontId="0" fillId="0" borderId="0" xfId="0" applyNumberFormat="1" applyAlignment="1" applyProtection="1">
      <alignment horizontal="center"/>
      <protection hidden="1"/>
    </xf>
    <xf numFmtId="12" fontId="2" fillId="0" borderId="0" xfId="0" applyNumberFormat="1" applyFont="1" applyAlignment="1" applyProtection="1">
      <alignment horizontal="center"/>
      <protection hidden="1"/>
    </xf>
    <xf numFmtId="166" fontId="1" fillId="0" borderId="0" xfId="0" applyNumberFormat="1" applyFont="1" applyAlignment="1" applyProtection="1">
      <alignment horizontal="center"/>
      <protection hidden="1"/>
    </xf>
    <xf numFmtId="166" fontId="1" fillId="0" borderId="0" xfId="0" applyNumberFormat="1" applyFont="1" applyAlignment="1" applyProtection="1">
      <alignment horizontal="center" vertical="center"/>
      <protection hidden="1"/>
    </xf>
    <xf numFmtId="166" fontId="0" fillId="0" borderId="5" xfId="0" applyNumberFormat="1" applyBorder="1" applyAlignment="1" applyProtection="1">
      <alignment horizontal="center"/>
      <protection hidden="1"/>
    </xf>
    <xf numFmtId="166" fontId="0" fillId="0" borderId="5" xfId="0" applyNumberFormat="1" applyBorder="1" applyAlignment="1" applyProtection="1">
      <alignment horizontal="center" vertical="center"/>
      <protection hidden="1"/>
    </xf>
    <xf numFmtId="166" fontId="1" fillId="0" borderId="5" xfId="0" applyNumberFormat="1" applyFont="1" applyBorder="1" applyAlignment="1" applyProtection="1">
      <alignment horizontal="center" vertical="center"/>
      <protection hidden="1"/>
    </xf>
    <xf numFmtId="1" fontId="0" fillId="0" borderId="5" xfId="0" applyNumberFormat="1" applyBorder="1" applyAlignment="1" applyProtection="1">
      <alignment horizontal="center"/>
      <protection hidden="1"/>
    </xf>
    <xf numFmtId="12" fontId="0" fillId="0" borderId="0" xfId="0" applyNumberFormat="1" applyAlignment="1" applyProtection="1">
      <alignment horizontal="center" vertical="center"/>
      <protection hidden="1"/>
    </xf>
    <xf numFmtId="1" fontId="1" fillId="0" borderId="0" xfId="0" applyNumberFormat="1" applyFont="1" applyAlignment="1" applyProtection="1">
      <alignment horizontal="center"/>
      <protection hidden="1"/>
    </xf>
    <xf numFmtId="166" fontId="0" fillId="0" borderId="0" xfId="0" applyNumberFormat="1" applyFont="1" applyAlignment="1" applyProtection="1">
      <alignment horizontal="center" vertical="center"/>
      <protection hidden="1"/>
    </xf>
    <xf numFmtId="0" fontId="1" fillId="0" borderId="0" xfId="0" applyFont="1" applyAlignment="1" applyProtection="1">
      <alignment horizontal="center"/>
      <protection hidden="1"/>
    </xf>
    <xf numFmtId="0" fontId="0" fillId="0" borderId="0" xfId="0" applyAlignment="1" applyProtection="1">
      <alignment horizontal="center" vertical="top"/>
      <protection hidden="1"/>
    </xf>
    <xf numFmtId="0" fontId="10" fillId="0" borderId="0" xfId="0" applyFont="1" applyAlignment="1" applyProtection="1">
      <alignment horizontal="left" vertical="top"/>
      <protection hidden="1"/>
    </xf>
    <xf numFmtId="0" fontId="1" fillId="0" borderId="0" xfId="0" applyFont="1" applyAlignment="1" applyProtection="1">
      <alignment vertical="top"/>
      <protection hidden="1"/>
    </xf>
    <xf numFmtId="0" fontId="1" fillId="0" borderId="31" xfId="0" applyFont="1" applyBorder="1" applyAlignment="1" applyProtection="1">
      <alignment horizontal="center" vertical="top"/>
      <protection hidden="1"/>
    </xf>
    <xf numFmtId="0" fontId="1" fillId="0" borderId="2" xfId="0" applyFont="1" applyBorder="1" applyAlignment="1" applyProtection="1">
      <alignment horizontal="center" vertical="top"/>
      <protection hidden="1"/>
    </xf>
    <xf numFmtId="0" fontId="1" fillId="0" borderId="4" xfId="0" applyFont="1" applyBorder="1" applyAlignment="1" applyProtection="1">
      <alignment horizontal="center" vertical="top"/>
      <protection hidden="1"/>
    </xf>
    <xf numFmtId="0" fontId="10" fillId="0" borderId="0" xfId="0" applyFont="1" applyAlignment="1" applyProtection="1">
      <alignment vertical="top"/>
      <protection hidden="1"/>
    </xf>
    <xf numFmtId="0" fontId="0" fillId="0" borderId="0" xfId="0"/>
    <xf numFmtId="0" fontId="0" fillId="7" borderId="5" xfId="0" applyFill="1" applyBorder="1"/>
    <xf numFmtId="0" fontId="0" fillId="7" borderId="0" xfId="0" applyNumberFormat="1" applyFill="1"/>
    <xf numFmtId="14" fontId="0" fillId="2" borderId="22" xfId="0" applyNumberFormat="1" applyFill="1" applyBorder="1" applyAlignment="1" applyProtection="1">
      <alignment horizontal="center" vertical="top"/>
      <protection hidden="1"/>
    </xf>
    <xf numFmtId="164" fontId="0" fillId="2" borderId="82" xfId="0" applyNumberFormat="1" applyFill="1" applyBorder="1" applyAlignment="1" applyProtection="1">
      <alignment horizontal="center" vertical="top"/>
      <protection hidden="1"/>
    </xf>
    <xf numFmtId="0" fontId="0" fillId="2" borderId="22" xfId="0" applyNumberFormat="1" applyFill="1" applyBorder="1" applyAlignment="1" applyProtection="1">
      <alignment horizontal="center" vertical="center"/>
      <protection hidden="1"/>
    </xf>
    <xf numFmtId="0" fontId="75" fillId="12" borderId="0" xfId="12" applyFont="1" applyFill="1" applyBorder="1" applyAlignment="1">
      <alignment horizontal="center"/>
    </xf>
    <xf numFmtId="168" fontId="1" fillId="0" borderId="0" xfId="0" applyNumberFormat="1" applyFont="1" applyFill="1" applyProtection="1">
      <protection hidden="1"/>
    </xf>
    <xf numFmtId="0" fontId="0" fillId="0" borderId="0" xfId="0"/>
    <xf numFmtId="0" fontId="1" fillId="0" borderId="0" xfId="0" applyNumberFormat="1" applyFont="1" applyFill="1" applyProtection="1">
      <protection hidden="1"/>
    </xf>
    <xf numFmtId="0" fontId="7" fillId="0"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vertical="top"/>
      <protection hidden="1"/>
    </xf>
    <xf numFmtId="0" fontId="0" fillId="0" borderId="0" xfId="0"/>
    <xf numFmtId="0" fontId="0" fillId="0" borderId="0" xfId="0"/>
    <xf numFmtId="0" fontId="0" fillId="0" borderId="0" xfId="0" applyNumberFormat="1" applyAlignment="1"/>
    <xf numFmtId="0" fontId="51" fillId="7" borderId="0" xfId="0" applyFont="1" applyFill="1"/>
    <xf numFmtId="0" fontId="61" fillId="7" borderId="0" xfId="0" applyFont="1" applyFill="1"/>
    <xf numFmtId="0" fontId="61" fillId="7" borderId="0" xfId="0" applyFont="1" applyFill="1" applyAlignment="1">
      <alignment vertical="center"/>
    </xf>
    <xf numFmtId="0" fontId="51" fillId="7" borderId="0" xfId="0" applyFont="1" applyFill="1" applyAlignment="1">
      <alignment vertical="top"/>
    </xf>
    <xf numFmtId="0" fontId="51" fillId="7" borderId="0" xfId="0" applyFont="1" applyFill="1" applyAlignment="1">
      <alignment vertical="center"/>
    </xf>
    <xf numFmtId="0" fontId="51" fillId="7" borderId="0" xfId="0" applyFont="1" applyFill="1" applyAlignment="1">
      <alignment horizontal="left" vertical="center"/>
    </xf>
    <xf numFmtId="0" fontId="17" fillId="2" borderId="0" xfId="0" applyFont="1" applyFill="1" applyBorder="1" applyAlignment="1" applyProtection="1">
      <alignment vertical="center"/>
      <protection hidden="1"/>
    </xf>
    <xf numFmtId="0" fontId="17" fillId="2" borderId="2" xfId="0" applyFont="1" applyFill="1" applyBorder="1" applyAlignment="1" applyProtection="1">
      <alignment vertical="center"/>
      <protection hidden="1"/>
    </xf>
    <xf numFmtId="0" fontId="1" fillId="0" borderId="0" xfId="0" applyFont="1"/>
    <xf numFmtId="0" fontId="0" fillId="0" borderId="0" xfId="0"/>
    <xf numFmtId="0" fontId="0" fillId="0" borderId="0" xfId="0"/>
    <xf numFmtId="0" fontId="1" fillId="0" borderId="0" xfId="0" applyFont="1"/>
    <xf numFmtId="0" fontId="0" fillId="0" borderId="0" xfId="0"/>
    <xf numFmtId="0" fontId="1" fillId="0" borderId="0" xfId="0" applyFont="1" applyFill="1" applyAlignment="1" applyProtection="1">
      <alignment wrapText="1"/>
      <protection hidden="1"/>
    </xf>
    <xf numFmtId="0" fontId="0" fillId="0" borderId="0" xfId="0"/>
    <xf numFmtId="0" fontId="81" fillId="3" borderId="0" xfId="0" applyFont="1" applyFill="1" applyBorder="1" applyAlignment="1" applyProtection="1">
      <alignment horizontal="center" vertical="center"/>
      <protection locked="0"/>
    </xf>
    <xf numFmtId="0" fontId="81" fillId="3" borderId="0" xfId="0" applyFont="1" applyFill="1" applyBorder="1" applyAlignment="1" applyProtection="1">
      <alignment horizontal="center" vertical="center"/>
      <protection locked="0" hidden="1"/>
    </xf>
    <xf numFmtId="0" fontId="1" fillId="0" borderId="0" xfId="0" applyFont="1"/>
    <xf numFmtId="0" fontId="0" fillId="0" borderId="0" xfId="0"/>
    <xf numFmtId="0" fontId="2" fillId="0" borderId="84" xfId="0" applyFont="1" applyFill="1" applyBorder="1" applyAlignment="1" applyProtection="1">
      <alignment horizontal="center"/>
      <protection locked="0" hidden="1"/>
    </xf>
    <xf numFmtId="0" fontId="2" fillId="0" borderId="85" xfId="0" applyFont="1" applyFill="1" applyBorder="1" applyAlignment="1" applyProtection="1">
      <alignment horizontal="center"/>
      <protection locked="0" hidden="1"/>
    </xf>
    <xf numFmtId="0" fontId="2" fillId="2" borderId="0" xfId="0" applyNumberFormat="1" applyFont="1" applyFill="1" applyBorder="1" applyAlignment="1" applyProtection="1">
      <alignment horizontal="right"/>
      <protection hidden="1"/>
    </xf>
    <xf numFmtId="0" fontId="2" fillId="0" borderId="87" xfId="0" applyFont="1" applyFill="1" applyBorder="1" applyAlignment="1" applyProtection="1">
      <alignment horizontal="center" vertical="center"/>
      <protection locked="0" hidden="1"/>
    </xf>
    <xf numFmtId="0" fontId="2" fillId="0" borderId="87" xfId="0" quotePrefix="1" applyFont="1" applyFill="1" applyBorder="1" applyAlignment="1" applyProtection="1">
      <alignment horizontal="center" vertical="center"/>
      <protection locked="0" hidden="1"/>
    </xf>
    <xf numFmtId="0" fontId="0" fillId="0" borderId="0" xfId="0"/>
    <xf numFmtId="0" fontId="2" fillId="7" borderId="26" xfId="0" applyFont="1" applyFill="1" applyBorder="1" applyAlignment="1" applyProtection="1">
      <alignment horizontal="center"/>
      <protection locked="0"/>
    </xf>
    <xf numFmtId="0" fontId="60" fillId="7" borderId="0" xfId="0" applyFont="1" applyFill="1" applyAlignment="1" applyProtection="1">
      <alignment vertical="center"/>
      <protection hidden="1"/>
    </xf>
    <xf numFmtId="0" fontId="60" fillId="7" borderId="0" xfId="0" applyFont="1" applyFill="1" applyAlignment="1" applyProtection="1">
      <alignment vertical="top"/>
      <protection hidden="1"/>
    </xf>
    <xf numFmtId="0" fontId="11" fillId="7" borderId="31" xfId="0" applyFont="1" applyFill="1" applyBorder="1" applyAlignment="1" applyProtection="1">
      <alignment vertical="top" wrapText="1"/>
      <protection hidden="1"/>
    </xf>
    <xf numFmtId="0" fontId="11" fillId="7" borderId="81" xfId="0" applyFont="1" applyFill="1" applyBorder="1" applyAlignment="1" applyProtection="1">
      <alignment vertical="top" wrapText="1"/>
      <protection hidden="1"/>
    </xf>
    <xf numFmtId="0" fontId="51" fillId="7" borderId="81" xfId="0" applyFont="1" applyFill="1" applyBorder="1" applyProtection="1">
      <protection hidden="1"/>
    </xf>
    <xf numFmtId="0" fontId="11" fillId="7" borderId="82" xfId="0" applyFont="1" applyFill="1" applyBorder="1" applyAlignment="1" applyProtection="1">
      <alignment horizontal="right"/>
      <protection hidden="1"/>
    </xf>
    <xf numFmtId="0" fontId="11" fillId="7" borderId="4" xfId="0" applyFont="1" applyFill="1" applyBorder="1" applyAlignment="1" applyProtection="1">
      <alignment vertical="top" wrapText="1"/>
      <protection hidden="1"/>
    </xf>
    <xf numFmtId="0" fontId="11" fillId="7" borderId="5" xfId="0" applyFont="1" applyFill="1" applyBorder="1" applyAlignment="1" applyProtection="1">
      <alignment vertical="top" wrapText="1"/>
      <protection hidden="1"/>
    </xf>
    <xf numFmtId="0" fontId="51" fillId="7" borderId="5" xfId="0" applyFont="1" applyFill="1" applyBorder="1" applyProtection="1">
      <protection hidden="1"/>
    </xf>
    <xf numFmtId="0" fontId="11" fillId="7" borderId="1" xfId="0" applyFont="1" applyFill="1" applyBorder="1" applyAlignment="1" applyProtection="1">
      <alignment horizontal="right"/>
      <protection hidden="1"/>
    </xf>
    <xf numFmtId="0" fontId="61" fillId="7" borderId="0" xfId="0" applyFont="1" applyFill="1" applyProtection="1">
      <protection hidden="1"/>
    </xf>
    <xf numFmtId="0" fontId="5" fillId="7" borderId="5" xfId="0" applyFont="1" applyFill="1" applyBorder="1" applyAlignment="1" applyProtection="1">
      <alignment horizontal="center" vertical="center"/>
      <protection hidden="1"/>
    </xf>
    <xf numFmtId="0" fontId="61" fillId="7" borderId="0" xfId="0" applyFont="1" applyFill="1" applyAlignment="1" applyProtection="1">
      <alignment vertical="center"/>
      <protection hidden="1"/>
    </xf>
    <xf numFmtId="0" fontId="2" fillId="7" borderId="26" xfId="0" applyFont="1" applyFill="1" applyBorder="1" applyAlignment="1" applyProtection="1">
      <alignment horizontal="center" vertical="center"/>
      <protection hidden="1"/>
    </xf>
    <xf numFmtId="0" fontId="50" fillId="7" borderId="0" xfId="0" applyFont="1" applyFill="1" applyAlignment="1" applyProtection="1">
      <alignment vertical="center"/>
      <protection hidden="1"/>
    </xf>
    <xf numFmtId="0" fontId="5" fillId="7" borderId="26" xfId="0" applyFont="1" applyFill="1" applyBorder="1" applyAlignment="1" applyProtection="1">
      <alignment horizontal="center" vertical="center"/>
      <protection hidden="1"/>
    </xf>
    <xf numFmtId="0" fontId="5" fillId="7" borderId="28" xfId="0" applyFont="1" applyFill="1" applyBorder="1" applyAlignment="1" applyProtection="1">
      <alignment horizontal="center" vertical="center"/>
      <protection hidden="1"/>
    </xf>
    <xf numFmtId="0" fontId="51" fillId="7" borderId="31" xfId="0" applyFont="1" applyFill="1" applyBorder="1" applyProtection="1">
      <protection hidden="1"/>
    </xf>
    <xf numFmtId="0" fontId="51" fillId="7" borderId="82" xfId="0" applyFont="1" applyFill="1" applyBorder="1" applyProtection="1">
      <protection hidden="1"/>
    </xf>
    <xf numFmtId="0" fontId="70" fillId="7" borderId="26" xfId="0" applyFont="1" applyFill="1" applyBorder="1" applyAlignment="1" applyProtection="1">
      <alignment horizontal="center" vertical="center"/>
      <protection hidden="1"/>
    </xf>
    <xf numFmtId="0" fontId="52" fillId="7" borderId="3" xfId="0" applyFont="1" applyFill="1" applyBorder="1" applyProtection="1">
      <protection hidden="1"/>
    </xf>
    <xf numFmtId="0" fontId="64" fillId="7" borderId="4" xfId="0" applyFont="1" applyFill="1" applyBorder="1" applyProtection="1">
      <protection hidden="1"/>
    </xf>
    <xf numFmtId="0" fontId="64" fillId="7" borderId="31" xfId="0" applyFont="1" applyFill="1" applyBorder="1" applyProtection="1">
      <protection hidden="1"/>
    </xf>
    <xf numFmtId="0" fontId="64" fillId="7" borderId="0" xfId="0" applyFont="1" applyFill="1" applyAlignment="1" applyProtection="1">
      <alignment vertical="top"/>
      <protection hidden="1"/>
    </xf>
    <xf numFmtId="0" fontId="65" fillId="7" borderId="0" xfId="0" applyFont="1" applyFill="1" applyBorder="1" applyProtection="1">
      <protection hidden="1"/>
    </xf>
    <xf numFmtId="0" fontId="67" fillId="7" borderId="0" xfId="0" applyFont="1" applyFill="1" applyAlignment="1" applyProtection="1">
      <alignment horizontal="center" vertical="center"/>
      <protection hidden="1"/>
    </xf>
    <xf numFmtId="0" fontId="64" fillId="7" borderId="1" xfId="0" applyFont="1" applyFill="1" applyBorder="1" applyProtection="1">
      <protection hidden="1"/>
    </xf>
    <xf numFmtId="0" fontId="65" fillId="7" borderId="26" xfId="0" applyFont="1" applyFill="1" applyBorder="1" applyAlignment="1" applyProtection="1">
      <alignment horizontal="center" vertical="center"/>
      <protection hidden="1"/>
    </xf>
    <xf numFmtId="44" fontId="65" fillId="7" borderId="0" xfId="0" applyNumberFormat="1" applyFont="1" applyFill="1" applyProtection="1">
      <protection hidden="1"/>
    </xf>
    <xf numFmtId="0" fontId="65" fillId="7" borderId="0" xfId="0" applyFont="1" applyFill="1" applyBorder="1" applyAlignment="1" applyProtection="1">
      <protection hidden="1"/>
    </xf>
    <xf numFmtId="0" fontId="65" fillId="7" borderId="0" xfId="0" applyFont="1" applyFill="1" applyAlignment="1" applyProtection="1">
      <alignment horizontal="left"/>
      <protection hidden="1"/>
    </xf>
    <xf numFmtId="0" fontId="64" fillId="7" borderId="2" xfId="0" applyFont="1" applyFill="1" applyBorder="1" applyAlignment="1" applyProtection="1">
      <alignment vertical="top"/>
      <protection hidden="1"/>
    </xf>
    <xf numFmtId="0" fontId="64" fillId="7" borderId="3" xfId="0" applyFont="1" applyFill="1" applyBorder="1" applyAlignment="1" applyProtection="1">
      <alignment vertical="top"/>
      <protection hidden="1"/>
    </xf>
    <xf numFmtId="0" fontId="64" fillId="7" borderId="4" xfId="0" applyFont="1" applyFill="1" applyBorder="1" applyAlignment="1" applyProtection="1">
      <alignment vertical="top"/>
      <protection hidden="1"/>
    </xf>
    <xf numFmtId="0" fontId="64" fillId="7" borderId="1" xfId="0" applyFont="1" applyFill="1" applyBorder="1" applyAlignment="1" applyProtection="1">
      <alignment vertical="top"/>
      <protection hidden="1"/>
    </xf>
    <xf numFmtId="0" fontId="64" fillId="7" borderId="26" xfId="0" applyFont="1" applyFill="1" applyBorder="1" applyProtection="1">
      <protection hidden="1"/>
    </xf>
    <xf numFmtId="0" fontId="64" fillId="7" borderId="31" xfId="0" applyFont="1" applyFill="1" applyBorder="1" applyAlignment="1" applyProtection="1">
      <alignment vertical="top"/>
      <protection hidden="1"/>
    </xf>
    <xf numFmtId="0" fontId="64" fillId="7" borderId="82" xfId="0" applyFont="1" applyFill="1" applyBorder="1" applyAlignment="1" applyProtection="1">
      <alignment vertical="top" wrapText="1"/>
      <protection hidden="1"/>
    </xf>
    <xf numFmtId="0" fontId="65" fillId="7" borderId="26" xfId="0" applyFont="1" applyFill="1" applyBorder="1" applyAlignment="1" applyProtection="1">
      <alignment horizontal="center" wrapText="1"/>
      <protection hidden="1"/>
    </xf>
    <xf numFmtId="0" fontId="65" fillId="7" borderId="0" xfId="0" applyFont="1" applyFill="1" applyAlignment="1" applyProtection="1">
      <alignment vertical="center"/>
      <protection hidden="1"/>
    </xf>
    <xf numFmtId="0" fontId="64" fillId="7" borderId="0" xfId="0" applyFont="1" applyFill="1" applyAlignment="1" applyProtection="1">
      <alignment horizontal="left" vertical="center"/>
      <protection hidden="1"/>
    </xf>
    <xf numFmtId="0" fontId="64" fillId="7" borderId="29" xfId="0" applyFont="1" applyFill="1" applyBorder="1" applyAlignment="1" applyProtection="1">
      <alignment vertical="center"/>
      <protection hidden="1"/>
    </xf>
    <xf numFmtId="0" fontId="64" fillId="7" borderId="27" xfId="0" applyFont="1" applyFill="1" applyBorder="1" applyAlignment="1" applyProtection="1">
      <alignment vertical="center"/>
      <protection hidden="1"/>
    </xf>
    <xf numFmtId="0" fontId="0" fillId="0" borderId="0" xfId="0"/>
    <xf numFmtId="14" fontId="0" fillId="0" borderId="0" xfId="0" applyNumberFormat="1"/>
    <xf numFmtId="0" fontId="0" fillId="0" borderId="0" xfId="0" applyNumberFormat="1"/>
    <xf numFmtId="1" fontId="2" fillId="7" borderId="26" xfId="0" applyNumberFormat="1" applyFont="1" applyFill="1" applyBorder="1" applyAlignment="1" applyProtection="1">
      <alignment horizontal="center" vertical="center"/>
      <protection hidden="1"/>
    </xf>
    <xf numFmtId="1" fontId="2" fillId="7" borderId="26" xfId="0" applyNumberFormat="1" applyFont="1" applyFill="1" applyBorder="1" applyAlignment="1" applyProtection="1">
      <alignment horizontal="center"/>
      <protection hidden="1"/>
    </xf>
    <xf numFmtId="0" fontId="0" fillId="0" borderId="0" xfId="0" applyAlignment="1">
      <alignment vertical="top"/>
    </xf>
    <xf numFmtId="0" fontId="2" fillId="8" borderId="26" xfId="0" applyFont="1" applyFill="1" applyBorder="1" applyAlignment="1" applyProtection="1">
      <alignment horizontal="center"/>
      <protection locked="0" hidden="1"/>
    </xf>
    <xf numFmtId="0" fontId="1" fillId="7" borderId="0" xfId="0" applyNumberFormat="1" applyFont="1" applyFill="1" applyAlignment="1" applyProtection="1">
      <alignment vertical="top"/>
      <protection hidden="1"/>
    </xf>
    <xf numFmtId="0" fontId="2" fillId="2" borderId="81" xfId="0" applyFont="1" applyFill="1" applyBorder="1" applyAlignment="1" applyProtection="1">
      <alignment horizontal="center"/>
      <protection hidden="1"/>
    </xf>
    <xf numFmtId="0" fontId="44" fillId="2" borderId="2" xfId="0" applyFont="1" applyFill="1" applyBorder="1" applyAlignment="1" applyProtection="1">
      <alignment vertical="center"/>
      <protection hidden="1"/>
    </xf>
    <xf numFmtId="0" fontId="44" fillId="2" borderId="0" xfId="0" applyFont="1" applyFill="1" applyBorder="1" applyAlignment="1" applyProtection="1">
      <alignment vertical="center"/>
      <protection hidden="1"/>
    </xf>
    <xf numFmtId="0" fontId="44" fillId="2" borderId="3" xfId="0" applyFont="1" applyFill="1" applyBorder="1" applyAlignment="1" applyProtection="1">
      <alignment vertical="center"/>
      <protection hidden="1"/>
    </xf>
    <xf numFmtId="0" fontId="10"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top" wrapText="1"/>
    </xf>
    <xf numFmtId="197" fontId="0" fillId="7" borderId="0" xfId="0" applyNumberFormat="1" applyFill="1" applyBorder="1" applyAlignment="1" applyProtection="1">
      <alignment horizontal="center" vertical="center"/>
      <protection hidden="1"/>
    </xf>
    <xf numFmtId="0" fontId="1" fillId="0" borderId="0" xfId="0" applyFont="1" applyProtection="1">
      <protection hidden="1"/>
    </xf>
    <xf numFmtId="194" fontId="2" fillId="7" borderId="47" xfId="0" applyNumberFormat="1" applyFont="1" applyFill="1" applyBorder="1" applyAlignment="1" applyProtection="1">
      <alignment horizontal="center"/>
    </xf>
    <xf numFmtId="0" fontId="0" fillId="0" borderId="0" xfId="0"/>
    <xf numFmtId="0" fontId="1" fillId="7" borderId="0" xfId="0" applyFont="1" applyFill="1" applyProtection="1">
      <protection hidden="1"/>
    </xf>
    <xf numFmtId="171" fontId="1" fillId="7" borderId="0" xfId="0" applyNumberFormat="1" applyFont="1" applyFill="1" applyAlignment="1" applyProtection="1">
      <alignment horizontal="left"/>
      <protection hidden="1"/>
    </xf>
    <xf numFmtId="0" fontId="19" fillId="7" borderId="0" xfId="0" applyFont="1" applyFill="1" applyAlignment="1" applyProtection="1">
      <alignment horizontal="center" vertical="center"/>
      <protection hidden="1"/>
    </xf>
    <xf numFmtId="0" fontId="1" fillId="2" borderId="3" xfId="0" applyFont="1" applyFill="1" applyBorder="1" applyAlignment="1" applyProtection="1">
      <alignment horizontal="left"/>
      <protection hidden="1"/>
    </xf>
    <xf numFmtId="0" fontId="1" fillId="2" borderId="3" xfId="0" applyFont="1" applyFill="1" applyBorder="1" applyAlignment="1" applyProtection="1">
      <protection hidden="1"/>
    </xf>
    <xf numFmtId="0" fontId="2" fillId="0" borderId="0" xfId="0" applyFont="1" applyBorder="1" applyAlignment="1" applyProtection="1">
      <protection hidden="1"/>
    </xf>
    <xf numFmtId="0" fontId="0" fillId="2" borderId="33" xfId="0" applyFill="1" applyBorder="1" applyAlignment="1" applyProtection="1">
      <alignment horizontal="center" vertical="center"/>
      <protection hidden="1"/>
    </xf>
    <xf numFmtId="186" fontId="2" fillId="7" borderId="0" xfId="0" applyNumberFormat="1" applyFont="1" applyFill="1" applyBorder="1" applyAlignment="1" applyProtection="1">
      <alignment horizontal="center" vertical="top" wrapText="1"/>
      <protection hidden="1"/>
    </xf>
    <xf numFmtId="186" fontId="2" fillId="7" borderId="5" xfId="0" applyNumberFormat="1" applyFont="1" applyFill="1" applyBorder="1" applyAlignment="1" applyProtection="1">
      <alignment horizontal="center" vertical="top" wrapText="1"/>
      <protection hidden="1"/>
    </xf>
    <xf numFmtId="189" fontId="2" fillId="0" borderId="5" xfId="0" applyNumberFormat="1" applyFont="1" applyBorder="1" applyAlignment="1" applyProtection="1">
      <alignment horizontal="center"/>
      <protection hidden="1"/>
    </xf>
    <xf numFmtId="188" fontId="2" fillId="7" borderId="0" xfId="0" applyNumberFormat="1" applyFont="1" applyFill="1" applyBorder="1" applyAlignment="1" applyProtection="1">
      <alignment horizontal="center" wrapText="1"/>
      <protection hidden="1"/>
    </xf>
    <xf numFmtId="0" fontId="0" fillId="7" borderId="0" xfId="0" applyFill="1" applyBorder="1" applyAlignment="1" applyProtection="1">
      <alignment horizontal="center" wrapText="1"/>
      <protection hidden="1"/>
    </xf>
    <xf numFmtId="0" fontId="1" fillId="0" borderId="0" xfId="0" applyNumberFormat="1" applyFont="1" applyAlignment="1" applyProtection="1">
      <alignment horizontal="left" vertical="top"/>
      <protection hidden="1"/>
    </xf>
    <xf numFmtId="0" fontId="0" fillId="0" borderId="0" xfId="0" applyBorder="1" applyAlignment="1" applyProtection="1">
      <alignment vertical="top"/>
      <protection hidden="1"/>
    </xf>
    <xf numFmtId="0" fontId="0" fillId="0" borderId="0" xfId="0" applyBorder="1"/>
    <xf numFmtId="0" fontId="0" fillId="7" borderId="0" xfId="0" applyFill="1" applyBorder="1" applyProtection="1">
      <protection hidden="1"/>
    </xf>
    <xf numFmtId="0" fontId="1" fillId="7" borderId="2" xfId="0" applyFont="1" applyFill="1" applyBorder="1" applyProtection="1">
      <protection hidden="1"/>
    </xf>
    <xf numFmtId="0" fontId="0" fillId="7" borderId="0" xfId="0" applyFill="1"/>
    <xf numFmtId="0" fontId="0" fillId="0" borderId="0" xfId="0" applyProtection="1">
      <protection hidden="1"/>
    </xf>
    <xf numFmtId="0" fontId="0" fillId="0" borderId="0" xfId="0"/>
    <xf numFmtId="0" fontId="0" fillId="7" borderId="0" xfId="0" applyFill="1" applyProtection="1">
      <protection hidden="1"/>
    </xf>
    <xf numFmtId="0" fontId="64" fillId="7" borderId="0" xfId="0" applyFont="1" applyFill="1" applyProtection="1">
      <protection hidden="1"/>
    </xf>
    <xf numFmtId="0" fontId="64" fillId="0" borderId="0" xfId="0" applyFont="1" applyProtection="1">
      <protection hidden="1"/>
    </xf>
    <xf numFmtId="0" fontId="64" fillId="7" borderId="81" xfId="0" applyFont="1" applyFill="1" applyBorder="1" applyProtection="1">
      <protection hidden="1"/>
    </xf>
    <xf numFmtId="0" fontId="65" fillId="7" borderId="0" xfId="0" applyFont="1" applyFill="1" applyProtection="1">
      <protection hidden="1"/>
    </xf>
    <xf numFmtId="0" fontId="64" fillId="7" borderId="5" xfId="0" applyFont="1" applyFill="1" applyBorder="1" applyProtection="1">
      <protection hidden="1"/>
    </xf>
    <xf numFmtId="44" fontId="64" fillId="7" borderId="0" xfId="0" applyNumberFormat="1" applyFont="1" applyFill="1" applyProtection="1">
      <protection hidden="1"/>
    </xf>
    <xf numFmtId="0" fontId="64" fillId="7" borderId="82" xfId="0" applyFont="1" applyFill="1" applyBorder="1" applyProtection="1">
      <protection hidden="1"/>
    </xf>
    <xf numFmtId="0" fontId="64" fillId="7" borderId="3" xfId="0" applyFont="1" applyFill="1" applyBorder="1" applyProtection="1">
      <protection hidden="1"/>
    </xf>
    <xf numFmtId="0" fontId="64" fillId="7" borderId="2" xfId="0" applyFont="1" applyFill="1" applyBorder="1" applyProtection="1">
      <protection hidden="1"/>
    </xf>
    <xf numFmtId="0" fontId="63" fillId="7" borderId="0" xfId="0" applyFont="1" applyFill="1" applyProtection="1">
      <protection hidden="1"/>
    </xf>
    <xf numFmtId="0" fontId="1" fillId="0" borderId="0" xfId="0" applyFont="1" applyProtection="1">
      <protection hidden="1"/>
    </xf>
    <xf numFmtId="0" fontId="2" fillId="0" borderId="0" xfId="0" applyFont="1" applyFill="1" applyBorder="1" applyAlignment="1" applyProtection="1">
      <protection hidden="1"/>
    </xf>
    <xf numFmtId="0" fontId="2" fillId="2" borderId="2" xfId="0" applyFont="1" applyFill="1" applyBorder="1" applyAlignment="1" applyProtection="1">
      <alignment horizontal="left" vertical="center"/>
      <protection hidden="1"/>
    </xf>
    <xf numFmtId="0" fontId="2" fillId="7" borderId="0" xfId="0" applyFont="1" applyFill="1" applyAlignment="1">
      <alignment horizontal="left"/>
    </xf>
    <xf numFmtId="0" fontId="0" fillId="0" borderId="0" xfId="0" applyAlignment="1">
      <alignment horizontal="left"/>
    </xf>
    <xf numFmtId="0" fontId="2" fillId="2" borderId="0" xfId="0" applyFont="1" applyFill="1" applyBorder="1" applyAlignment="1" applyProtection="1">
      <protection hidden="1"/>
    </xf>
    <xf numFmtId="0" fontId="0" fillId="0" borderId="0" xfId="0" applyAlignment="1"/>
    <xf numFmtId="0" fontId="0" fillId="0" borderId="0" xfId="0" applyBorder="1" applyAlignment="1"/>
    <xf numFmtId="0" fontId="0" fillId="0" borderId="3" xfId="0" applyBorder="1" applyAlignment="1"/>
    <xf numFmtId="0" fontId="0" fillId="7" borderId="0" xfId="0" applyFill="1" applyAlignment="1"/>
    <xf numFmtId="0" fontId="0" fillId="7" borderId="0" xfId="0" applyFill="1" applyBorder="1" applyAlignment="1"/>
    <xf numFmtId="0" fontId="2" fillId="7" borderId="2" xfId="0" applyFont="1" applyFill="1" applyBorder="1" applyAlignment="1" applyProtection="1">
      <alignment horizontal="right"/>
      <protection hidden="1"/>
    </xf>
    <xf numFmtId="190" fontId="0" fillId="7" borderId="0" xfId="0" applyNumberFormat="1" applyFill="1" applyBorder="1" applyAlignment="1" applyProtection="1">
      <alignment horizontal="left"/>
      <protection hidden="1"/>
    </xf>
    <xf numFmtId="190" fontId="0" fillId="7" borderId="0" xfId="0" applyNumberFormat="1" applyFill="1" applyAlignment="1" applyProtection="1">
      <protection hidden="1"/>
    </xf>
    <xf numFmtId="0" fontId="2" fillId="2" borderId="0" xfId="0" applyFont="1" applyFill="1" applyBorder="1" applyAlignment="1" applyProtection="1">
      <alignment horizontal="left"/>
      <protection hidden="1"/>
    </xf>
    <xf numFmtId="0" fontId="2" fillId="2" borderId="2" xfId="0" applyFont="1" applyFill="1" applyBorder="1" applyAlignment="1" applyProtection="1">
      <protection hidden="1"/>
    </xf>
    <xf numFmtId="0" fontId="0" fillId="2" borderId="0" xfId="0" applyFill="1" applyBorder="1" applyAlignment="1"/>
    <xf numFmtId="0" fontId="2" fillId="7" borderId="2" xfId="0" applyFont="1" applyFill="1" applyBorder="1" applyAlignment="1" applyProtection="1">
      <protection hidden="1"/>
    </xf>
    <xf numFmtId="0" fontId="2" fillId="2" borderId="0" xfId="0" applyFont="1" applyFill="1" applyBorder="1" applyAlignment="1" applyProtection="1">
      <alignment vertical="center"/>
      <protection hidden="1"/>
    </xf>
    <xf numFmtId="0" fontId="2" fillId="2" borderId="2" xfId="0" applyFont="1" applyFill="1" applyBorder="1" applyAlignment="1" applyProtection="1">
      <alignment vertical="center"/>
      <protection hidden="1"/>
    </xf>
    <xf numFmtId="0" fontId="0" fillId="0" borderId="0" xfId="0" applyBorder="1" applyAlignment="1" applyProtection="1">
      <alignment horizontal="center"/>
      <protection hidden="1"/>
    </xf>
    <xf numFmtId="14" fontId="0" fillId="2" borderId="26" xfId="0" applyNumberFormat="1" applyFill="1" applyBorder="1" applyAlignment="1" applyProtection="1">
      <alignment horizontal="center" vertical="top"/>
      <protection hidden="1"/>
    </xf>
    <xf numFmtId="0" fontId="2" fillId="2" borderId="0" xfId="0" applyFont="1" applyFill="1" applyBorder="1" applyAlignment="1" applyProtection="1">
      <alignment horizontal="right"/>
      <protection hidden="1"/>
    </xf>
    <xf numFmtId="0" fontId="2" fillId="7" borderId="0" xfId="0" applyFont="1" applyFill="1" applyBorder="1" applyAlignment="1" applyProtection="1">
      <alignment horizontal="center"/>
      <protection hidden="1"/>
    </xf>
    <xf numFmtId="0" fontId="2" fillId="7" borderId="3" xfId="0" applyFont="1" applyFill="1" applyBorder="1" applyAlignment="1" applyProtection="1">
      <alignment horizontal="center"/>
      <protection hidden="1"/>
    </xf>
    <xf numFmtId="0" fontId="0" fillId="2" borderId="0" xfId="0" applyFill="1" applyAlignment="1"/>
    <xf numFmtId="0" fontId="2" fillId="0" borderId="0" xfId="0" applyFont="1" applyBorder="1" applyAlignment="1"/>
    <xf numFmtId="0" fontId="1" fillId="2" borderId="0" xfId="0" applyFont="1" applyFill="1" applyAlignment="1" applyProtection="1">
      <protection hidden="1"/>
    </xf>
    <xf numFmtId="0" fontId="0" fillId="0" borderId="5" xfId="0" applyBorder="1" applyAlignment="1" applyProtection="1">
      <alignment horizontal="center"/>
      <protection hidden="1"/>
    </xf>
    <xf numFmtId="0" fontId="0" fillId="0" borderId="3" xfId="0" applyBorder="1" applyAlignment="1" applyProtection="1">
      <protection hidden="1"/>
    </xf>
    <xf numFmtId="1" fontId="2" fillId="2" borderId="26" xfId="0" applyNumberFormat="1" applyFont="1" applyFill="1" applyBorder="1" applyAlignment="1" applyProtection="1">
      <alignment horizontal="center"/>
      <protection hidden="1"/>
    </xf>
    <xf numFmtId="0" fontId="0" fillId="2" borderId="5" xfId="0" applyFill="1" applyBorder="1" applyAlignment="1">
      <alignment horizontal="center" vertical="center" wrapText="1"/>
    </xf>
    <xf numFmtId="0" fontId="2" fillId="7" borderId="0" xfId="0" applyFont="1" applyFill="1" applyBorder="1" applyAlignment="1" applyProtection="1">
      <protection hidden="1"/>
    </xf>
    <xf numFmtId="0" fontId="44" fillId="7" borderId="0" xfId="0" applyFont="1" applyFill="1" applyBorder="1" applyAlignment="1" applyProtection="1">
      <alignment vertical="center"/>
      <protection hidden="1"/>
    </xf>
    <xf numFmtId="0" fontId="2" fillId="2" borderId="0" xfId="0" applyFont="1" applyFill="1" applyAlignment="1" applyProtection="1">
      <alignment horizontal="right"/>
      <protection hidden="1"/>
    </xf>
    <xf numFmtId="1" fontId="2" fillId="2" borderId="28" xfId="0" applyNumberFormat="1" applyFont="1" applyFill="1" applyBorder="1" applyAlignment="1" applyProtection="1">
      <alignment horizontal="left"/>
      <protection hidden="1"/>
    </xf>
    <xf numFmtId="4" fontId="6" fillId="0" borderId="88" xfId="0" applyNumberFormat="1" applyFont="1" applyFill="1" applyBorder="1" applyAlignment="1" applyProtection="1">
      <alignment horizontal="center" vertical="center"/>
      <protection locked="0" hidden="1"/>
    </xf>
    <xf numFmtId="0" fontId="1" fillId="7" borderId="0" xfId="0" applyFont="1" applyFill="1" applyAlignment="1">
      <alignment wrapText="1"/>
    </xf>
    <xf numFmtId="0" fontId="0" fillId="2" borderId="0" xfId="0" applyFill="1" applyBorder="1" applyAlignment="1" applyProtection="1">
      <protection hidden="1"/>
    </xf>
    <xf numFmtId="0" fontId="1" fillId="7" borderId="2" xfId="0" applyFont="1" applyFill="1" applyBorder="1" applyAlignment="1" applyProtection="1">
      <protection hidden="1"/>
    </xf>
    <xf numFmtId="0" fontId="0" fillId="2" borderId="0" xfId="0" applyFill="1" applyAlignment="1" applyProtection="1">
      <protection hidden="1"/>
    </xf>
    <xf numFmtId="0" fontId="0" fillId="7" borderId="0" xfId="0" applyFill="1" applyAlignment="1">
      <alignment wrapText="1"/>
    </xf>
    <xf numFmtId="0" fontId="2" fillId="2" borderId="0" xfId="0" applyFont="1" applyFill="1" applyBorder="1" applyAlignment="1" applyProtection="1">
      <alignment horizontal="center"/>
      <protection hidden="1"/>
    </xf>
    <xf numFmtId="4" fontId="6" fillId="0" borderId="22" xfId="0" applyNumberFormat="1" applyFont="1" applyFill="1" applyBorder="1" applyAlignment="1" applyProtection="1">
      <alignment horizontal="center" vertical="center"/>
      <protection locked="0" hidden="1"/>
    </xf>
    <xf numFmtId="0" fontId="1" fillId="7" borderId="0" xfId="0" applyFont="1" applyFill="1" applyAlignment="1" applyProtection="1">
      <protection hidden="1"/>
    </xf>
    <xf numFmtId="0" fontId="8" fillId="2" borderId="0" xfId="0" applyFont="1" applyFill="1" applyAlignment="1" applyProtection="1">
      <alignment horizontal="right"/>
      <protection hidden="1"/>
    </xf>
    <xf numFmtId="0" fontId="0" fillId="2" borderId="0" xfId="0" applyFill="1" applyAlignment="1" applyProtection="1">
      <alignment horizontal="right"/>
      <protection hidden="1"/>
    </xf>
    <xf numFmtId="0" fontId="1" fillId="2" borderId="0" xfId="0" applyFont="1" applyFill="1" applyAlignment="1" applyProtection="1">
      <alignment horizontal="left"/>
      <protection hidden="1"/>
    </xf>
    <xf numFmtId="0" fontId="1" fillId="7" borderId="2" xfId="0" applyFont="1" applyFill="1" applyBorder="1" applyAlignment="1" applyProtection="1">
      <alignment horizontal="right"/>
      <protection hidden="1"/>
    </xf>
    <xf numFmtId="0" fontId="0" fillId="7" borderId="0" xfId="0" applyFill="1" applyBorder="1" applyAlignment="1" applyProtection="1">
      <alignment horizontal="right"/>
      <protection hidden="1"/>
    </xf>
    <xf numFmtId="0" fontId="0" fillId="7" borderId="0" xfId="0" applyFill="1" applyAlignment="1" applyProtection="1">
      <protection hidden="1"/>
    </xf>
    <xf numFmtId="0" fontId="1" fillId="7" borderId="0" xfId="0" applyFont="1" applyFill="1" applyBorder="1" applyAlignment="1" applyProtection="1">
      <protection hidden="1"/>
    </xf>
    <xf numFmtId="0" fontId="0" fillId="7" borderId="0" xfId="0" applyFill="1" applyBorder="1" applyAlignment="1" applyProtection="1">
      <protection hidden="1"/>
    </xf>
    <xf numFmtId="0" fontId="0" fillId="0" borderId="26" xfId="0" applyBorder="1" applyAlignment="1" applyProtection="1">
      <alignment horizontal="center"/>
      <protection hidden="1"/>
    </xf>
    <xf numFmtId="0" fontId="1" fillId="2" borderId="2"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19" fillId="7" borderId="0" xfId="0" applyFont="1" applyFill="1" applyAlignment="1">
      <alignment horizontal="center"/>
    </xf>
    <xf numFmtId="0" fontId="0" fillId="7" borderId="0" xfId="0" applyFill="1" applyAlignment="1" applyProtection="1">
      <alignment wrapText="1"/>
      <protection hidden="1"/>
    </xf>
    <xf numFmtId="0" fontId="1" fillId="7" borderId="0" xfId="0" applyFont="1" applyFill="1" applyAlignment="1" applyProtection="1">
      <alignment vertical="top"/>
      <protection hidden="1"/>
    </xf>
    <xf numFmtId="0" fontId="0" fillId="0" borderId="0" xfId="0" applyAlignment="1" applyProtection="1">
      <alignment vertical="top"/>
      <protection hidden="1"/>
    </xf>
    <xf numFmtId="0" fontId="2" fillId="2" borderId="0" xfId="0" applyFont="1" applyFill="1" applyAlignment="1" applyProtection="1">
      <alignment vertical="top"/>
      <protection hidden="1"/>
    </xf>
    <xf numFmtId="0" fontId="2" fillId="7" borderId="0" xfId="0" applyFont="1" applyFill="1" applyAlignment="1" applyProtection="1">
      <alignment horizontal="left" vertical="top" wrapText="1"/>
      <protection hidden="1"/>
    </xf>
    <xf numFmtId="0" fontId="0" fillId="7" borderId="0" xfId="0" applyFill="1" applyAlignment="1" applyProtection="1">
      <alignment vertical="top" wrapText="1"/>
      <protection hidden="1"/>
    </xf>
    <xf numFmtId="9" fontId="2" fillId="7" borderId="5" xfId="0" applyNumberFormat="1" applyFont="1" applyFill="1" applyBorder="1" applyAlignment="1" applyProtection="1">
      <alignment horizontal="center" vertical="top" wrapText="1"/>
      <protection hidden="1"/>
    </xf>
    <xf numFmtId="0" fontId="0" fillId="7" borderId="0" xfId="0" applyFill="1" applyAlignment="1" applyProtection="1">
      <alignment horizontal="right" vertical="top" wrapText="1"/>
      <protection hidden="1"/>
    </xf>
    <xf numFmtId="0" fontId="1" fillId="7" borderId="0" xfId="0" applyFont="1" applyFill="1" applyAlignment="1" applyProtection="1">
      <alignment vertical="top" wrapText="1"/>
      <protection hidden="1"/>
    </xf>
    <xf numFmtId="49" fontId="1" fillId="7" borderId="0" xfId="0" applyNumberFormat="1" applyFont="1" applyFill="1" applyAlignment="1" applyProtection="1">
      <alignment vertical="top" wrapText="1"/>
      <protection hidden="1"/>
    </xf>
    <xf numFmtId="0" fontId="0" fillId="0" borderId="0" xfId="0" applyAlignment="1" applyProtection="1">
      <alignment wrapText="1"/>
      <protection hidden="1"/>
    </xf>
    <xf numFmtId="0" fontId="0" fillId="7" borderId="0" xfId="0" applyFill="1" applyBorder="1" applyAlignment="1" applyProtection="1">
      <alignment vertical="top" wrapText="1"/>
      <protection hidden="1"/>
    </xf>
    <xf numFmtId="0" fontId="1" fillId="7" borderId="0" xfId="0" applyNumberFormat="1" applyFont="1" applyFill="1" applyBorder="1" applyAlignment="1" applyProtection="1">
      <alignment horizontal="left" vertical="top"/>
      <protection hidden="1"/>
    </xf>
    <xf numFmtId="0" fontId="0" fillId="7" borderId="0" xfId="0" applyFill="1" applyAlignment="1" applyProtection="1">
      <alignment vertical="top"/>
      <protection hidden="1"/>
    </xf>
    <xf numFmtId="0" fontId="1" fillId="7" borderId="0" xfId="0" applyFont="1" applyFill="1" applyAlignment="1" applyProtection="1">
      <alignment horizontal="right" vertical="top"/>
      <protection hidden="1"/>
    </xf>
    <xf numFmtId="0" fontId="1" fillId="7" borderId="0" xfId="0" applyFont="1" applyFill="1" applyAlignment="1" applyProtection="1">
      <alignment wrapText="1"/>
      <protection hidden="1"/>
    </xf>
    <xf numFmtId="0" fontId="2" fillId="7" borderId="0" xfId="0" applyFont="1" applyFill="1" applyAlignment="1" applyProtection="1">
      <alignment vertical="top"/>
      <protection hidden="1"/>
    </xf>
    <xf numFmtId="49" fontId="1" fillId="7" borderId="0" xfId="0" applyNumberFormat="1" applyFont="1" applyFill="1" applyAlignment="1" applyProtection="1">
      <alignment vertical="top"/>
      <protection hidden="1"/>
    </xf>
    <xf numFmtId="0" fontId="0" fillId="7" borderId="5" xfId="0" applyFill="1" applyBorder="1" applyAlignment="1" applyProtection="1">
      <protection hidden="1"/>
    </xf>
    <xf numFmtId="0" fontId="0" fillId="7" borderId="0" xfId="0" applyFill="1" applyAlignment="1" applyProtection="1">
      <alignment horizontal="left" vertical="top"/>
      <protection hidden="1"/>
    </xf>
    <xf numFmtId="0" fontId="1" fillId="7" borderId="0" xfId="0" applyFont="1" applyFill="1" applyBorder="1" applyAlignment="1" applyProtection="1">
      <alignment horizontal="left" vertical="top"/>
      <protection hidden="1"/>
    </xf>
    <xf numFmtId="0" fontId="0" fillId="7" borderId="0" xfId="0" applyFill="1" applyBorder="1" applyAlignment="1" applyProtection="1">
      <alignment wrapText="1"/>
      <protection hidden="1"/>
    </xf>
    <xf numFmtId="0" fontId="0" fillId="7" borderId="0" xfId="0" applyFill="1" applyAlignment="1" applyProtection="1">
      <alignment horizontal="center"/>
      <protection hidden="1"/>
    </xf>
    <xf numFmtId="0" fontId="0" fillId="0" borderId="0" xfId="0" applyAlignment="1" applyProtection="1">
      <alignment horizontal="center"/>
      <protection hidden="1"/>
    </xf>
    <xf numFmtId="0" fontId="5" fillId="7" borderId="0" xfId="0" applyFont="1" applyFill="1" applyAlignment="1" applyProtection="1">
      <alignment horizontal="center" wrapText="1"/>
      <protection hidden="1"/>
    </xf>
    <xf numFmtId="0" fontId="2" fillId="7" borderId="0" xfId="0" applyFont="1" applyFill="1" applyAlignment="1" applyProtection="1">
      <alignment horizontal="right"/>
      <protection hidden="1"/>
    </xf>
    <xf numFmtId="0" fontId="0" fillId="7" borderId="0" xfId="0" applyFill="1" applyAlignment="1" applyProtection="1">
      <alignment horizontal="right"/>
      <protection hidden="1"/>
    </xf>
    <xf numFmtId="0" fontId="2" fillId="7" borderId="0" xfId="0" applyFont="1" applyFill="1" applyBorder="1" applyAlignment="1" applyProtection="1">
      <alignment vertical="top" wrapText="1"/>
      <protection hidden="1"/>
    </xf>
    <xf numFmtId="0" fontId="0" fillId="2" borderId="0" xfId="0" applyFill="1" applyAlignment="1" applyProtection="1">
      <alignment horizontal="center" vertical="top"/>
      <protection hidden="1"/>
    </xf>
    <xf numFmtId="0" fontId="0" fillId="0" borderId="0" xfId="0" applyAlignment="1">
      <alignment horizontal="center" vertical="top"/>
    </xf>
    <xf numFmtId="0" fontId="2" fillId="7" borderId="0" xfId="0" applyFont="1" applyFill="1" applyAlignment="1" applyProtection="1">
      <alignment horizontal="left" vertical="top"/>
      <protection hidden="1"/>
    </xf>
    <xf numFmtId="0" fontId="0" fillId="7" borderId="0" xfId="0" applyFill="1" applyAlignment="1">
      <alignment vertical="top"/>
    </xf>
    <xf numFmtId="0" fontId="10" fillId="2" borderId="0" xfId="0" applyFont="1" applyFill="1" applyBorder="1" applyAlignment="1" applyProtection="1">
      <alignment horizontal="center"/>
      <protection hidden="1"/>
    </xf>
    <xf numFmtId="0" fontId="0" fillId="0" borderId="0" xfId="0" applyAlignment="1">
      <alignment vertical="top"/>
    </xf>
    <xf numFmtId="0" fontId="2" fillId="7" borderId="0" xfId="0" applyFont="1" applyFill="1" applyBorder="1" applyAlignment="1" applyProtection="1">
      <alignment horizontal="center" vertical="top"/>
      <protection hidden="1"/>
    </xf>
    <xf numFmtId="0" fontId="1" fillId="7" borderId="0" xfId="0" applyFont="1" applyFill="1" applyAlignment="1" applyProtection="1">
      <alignment horizontal="left" vertical="top"/>
      <protection hidden="1"/>
    </xf>
    <xf numFmtId="0" fontId="0" fillId="7" borderId="5" xfId="0" applyFill="1" applyBorder="1" applyAlignment="1"/>
    <xf numFmtId="0" fontId="0" fillId="2" borderId="0" xfId="0" applyFill="1" applyAlignment="1" applyProtection="1">
      <alignment vertical="top" wrapText="1"/>
      <protection hidden="1"/>
    </xf>
    <xf numFmtId="0" fontId="2" fillId="2" borderId="0" xfId="0" applyFont="1" applyFill="1" applyAlignment="1" applyProtection="1">
      <alignment vertical="top" wrapText="1"/>
      <protection hidden="1"/>
    </xf>
    <xf numFmtId="0" fontId="2" fillId="7" borderId="0" xfId="0" applyFont="1" applyFill="1" applyBorder="1" applyAlignment="1" applyProtection="1">
      <alignment vertical="top"/>
      <protection hidden="1"/>
    </xf>
    <xf numFmtId="0" fontId="1" fillId="7" borderId="0" xfId="0" applyFont="1" applyFill="1" applyBorder="1" applyAlignment="1" applyProtection="1">
      <alignment vertical="top"/>
      <protection hidden="1"/>
    </xf>
    <xf numFmtId="0" fontId="1" fillId="7" borderId="0" xfId="0" applyFont="1" applyFill="1" applyBorder="1" applyAlignment="1" applyProtection="1">
      <alignment vertical="top" wrapText="1"/>
      <protection hidden="1"/>
    </xf>
    <xf numFmtId="0" fontId="63" fillId="7" borderId="0" xfId="0" applyFont="1" applyFill="1" applyAlignment="1" applyProtection="1">
      <alignment vertical="top" wrapText="1"/>
      <protection hidden="1"/>
    </xf>
    <xf numFmtId="0" fontId="64" fillId="7" borderId="0" xfId="0" applyFont="1" applyFill="1" applyAlignment="1" applyProtection="1">
      <alignment horizontal="center"/>
      <protection hidden="1"/>
    </xf>
    <xf numFmtId="0" fontId="64" fillId="7" borderId="0" xfId="0" applyFont="1" applyFill="1" applyAlignment="1" applyProtection="1">
      <alignment wrapText="1"/>
      <protection hidden="1"/>
    </xf>
    <xf numFmtId="0" fontId="64" fillId="7" borderId="0" xfId="0" applyFont="1" applyFill="1" applyAlignment="1" applyProtection="1">
      <alignment vertical="center"/>
      <protection hidden="1"/>
    </xf>
    <xf numFmtId="0" fontId="64" fillId="7" borderId="81" xfId="0" applyFont="1" applyFill="1" applyBorder="1" applyAlignment="1" applyProtection="1">
      <alignment horizontal="right"/>
      <protection hidden="1"/>
    </xf>
    <xf numFmtId="0" fontId="64" fillId="7" borderId="0" xfId="0" applyFont="1" applyFill="1" applyAlignment="1" applyProtection="1">
      <alignment vertical="center" wrapText="1"/>
      <protection hidden="1"/>
    </xf>
    <xf numFmtId="0" fontId="64" fillId="7" borderId="0" xfId="0" applyFont="1" applyFill="1" applyAlignment="1" applyProtection="1">
      <alignment horizontal="right"/>
      <protection hidden="1"/>
    </xf>
    <xf numFmtId="0" fontId="65" fillId="7" borderId="0" xfId="0" applyFont="1" applyFill="1" applyAlignment="1" applyProtection="1">
      <alignment vertical="top" wrapText="1"/>
      <protection hidden="1"/>
    </xf>
    <xf numFmtId="0" fontId="65" fillId="7" borderId="0" xfId="0" applyFont="1" applyFill="1" applyAlignment="1" applyProtection="1">
      <alignment vertical="center" wrapText="1"/>
      <protection hidden="1"/>
    </xf>
    <xf numFmtId="0" fontId="65" fillId="7" borderId="0" xfId="0" applyFont="1" applyFill="1" applyAlignment="1" applyProtection="1">
      <alignment horizontal="center"/>
      <protection hidden="1"/>
    </xf>
    <xf numFmtId="0" fontId="64" fillId="7" borderId="2" xfId="0" applyFont="1" applyFill="1" applyBorder="1" applyAlignment="1" applyProtection="1">
      <alignment vertical="center"/>
      <protection hidden="1"/>
    </xf>
    <xf numFmtId="0" fontId="64" fillId="7" borderId="0" xfId="0" applyFont="1" applyFill="1" applyAlignment="1" applyProtection="1">
      <alignment vertical="top" wrapText="1"/>
      <protection hidden="1"/>
    </xf>
    <xf numFmtId="0" fontId="1" fillId="0" borderId="0" xfId="0" applyFont="1" applyAlignment="1" applyProtection="1">
      <alignment vertical="top" wrapText="1"/>
      <protection hidden="1"/>
    </xf>
    <xf numFmtId="0" fontId="0" fillId="0" borderId="0" xfId="0"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52" fillId="7" borderId="0" xfId="0" applyFont="1" applyFill="1" applyAlignment="1" applyProtection="1">
      <alignment vertical="center"/>
      <protection hidden="1"/>
    </xf>
    <xf numFmtId="0" fontId="29" fillId="7" borderId="0" xfId="0" applyFont="1" applyFill="1" applyAlignment="1" applyProtection="1">
      <protection hidden="1"/>
    </xf>
    <xf numFmtId="0" fontId="0" fillId="2" borderId="0" xfId="0" applyFill="1" applyAlignment="1">
      <alignment horizontal="right"/>
    </xf>
    <xf numFmtId="0" fontId="1" fillId="7" borderId="0" xfId="0" applyFont="1" applyFill="1" applyAlignment="1">
      <alignment horizontal="right"/>
    </xf>
    <xf numFmtId="0" fontId="0" fillId="2" borderId="0" xfId="0" applyFill="1" applyAlignment="1" applyProtection="1">
      <alignment horizontal="left"/>
      <protection hidden="1"/>
    </xf>
    <xf numFmtId="0" fontId="0" fillId="2" borderId="0" xfId="0" applyFill="1" applyAlignment="1">
      <alignment vertical="top" wrapText="1"/>
    </xf>
    <xf numFmtId="0" fontId="0" fillId="2" borderId="28" xfId="0" applyFill="1" applyBorder="1" applyAlignment="1">
      <alignment horizontal="left"/>
    </xf>
    <xf numFmtId="0" fontId="0" fillId="2" borderId="5" xfId="0" applyFill="1" applyBorder="1" applyAlignment="1">
      <alignment horizontal="left"/>
    </xf>
    <xf numFmtId="0" fontId="5" fillId="7" borderId="5" xfId="0" applyFont="1" applyFill="1" applyBorder="1" applyAlignment="1" applyProtection="1">
      <alignment horizontal="left"/>
      <protection locked="0"/>
    </xf>
    <xf numFmtId="0" fontId="12" fillId="7" borderId="0" xfId="0" applyFont="1" applyFill="1" applyAlignment="1">
      <alignment horizontal="left"/>
    </xf>
    <xf numFmtId="0" fontId="0" fillId="0" borderId="13" xfId="0" applyBorder="1" applyAlignment="1" applyProtection="1">
      <alignment horizontal="center"/>
      <protection hidden="1"/>
    </xf>
    <xf numFmtId="0" fontId="0" fillId="0" borderId="15"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17" xfId="0" applyBorder="1" applyAlignment="1" applyProtection="1">
      <alignment horizontal="center"/>
      <protection hidden="1"/>
    </xf>
    <xf numFmtId="0" fontId="2" fillId="0" borderId="6" xfId="0" applyFont="1" applyBorder="1" applyAlignment="1" applyProtection="1">
      <alignment horizontal="center"/>
      <protection hidden="1"/>
    </xf>
    <xf numFmtId="0" fontId="0" fillId="0" borderId="5" xfId="0" applyBorder="1" applyAlignment="1" applyProtection="1">
      <alignment horizontal="center" wrapText="1"/>
      <protection hidden="1"/>
    </xf>
    <xf numFmtId="0" fontId="1" fillId="12" borderId="21" xfId="0" applyFont="1" applyFill="1" applyBorder="1" applyAlignment="1" applyProtection="1">
      <alignment vertical="center"/>
    </xf>
    <xf numFmtId="0" fontId="1" fillId="0" borderId="0" xfId="0" applyFont="1" applyFill="1" applyBorder="1" applyProtection="1">
      <protection hidden="1"/>
    </xf>
    <xf numFmtId="0" fontId="1" fillId="2" borderId="5" xfId="0" applyFont="1" applyFill="1" applyBorder="1" applyAlignment="1" applyProtection="1">
      <protection hidden="1"/>
    </xf>
    <xf numFmtId="0" fontId="1" fillId="2" borderId="0" xfId="0" applyFont="1" applyFill="1" applyBorder="1" applyAlignment="1" applyProtection="1">
      <protection hidden="1"/>
    </xf>
    <xf numFmtId="0" fontId="0" fillId="2" borderId="81" xfId="0" applyFill="1" applyBorder="1" applyAlignment="1"/>
    <xf numFmtId="43" fontId="1" fillId="2" borderId="0" xfId="0" applyNumberFormat="1" applyFont="1" applyFill="1" applyBorder="1" applyAlignment="1" applyProtection="1">
      <protection hidden="1"/>
    </xf>
    <xf numFmtId="0" fontId="1" fillId="2" borderId="0" xfId="0" applyFont="1" applyFill="1" applyAlignment="1" applyProtection="1">
      <alignment horizontal="right"/>
      <protection hidden="1"/>
    </xf>
    <xf numFmtId="0" fontId="1" fillId="2" borderId="0" xfId="2" applyNumberFormat="1" applyFont="1" applyFill="1" applyBorder="1" applyAlignment="1" applyProtection="1">
      <alignment horizontal="right" wrapText="1"/>
      <protection hidden="1"/>
    </xf>
    <xf numFmtId="43" fontId="1" fillId="2" borderId="0" xfId="2" applyNumberFormat="1" applyFont="1" applyFill="1" applyBorder="1" applyAlignment="1" applyProtection="1">
      <alignment vertical="center" wrapText="1"/>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44" fontId="1" fillId="0" borderId="0" xfId="0" applyNumberFormat="1" applyFont="1" applyFill="1" applyProtection="1">
      <protection hidden="1"/>
    </xf>
    <xf numFmtId="0" fontId="0" fillId="0" borderId="81" xfId="0" applyBorder="1" applyAlignment="1"/>
    <xf numFmtId="0" fontId="1" fillId="2" borderId="3" xfId="0" applyFont="1" applyFill="1" applyBorder="1" applyProtection="1">
      <protection hidden="1"/>
    </xf>
    <xf numFmtId="0" fontId="1" fillId="2" borderId="5" xfId="0" applyFont="1" applyFill="1" applyBorder="1" applyProtection="1">
      <protection hidden="1"/>
    </xf>
    <xf numFmtId="0" fontId="1" fillId="2" borderId="4" xfId="0" applyFont="1" applyFill="1" applyBorder="1" applyProtection="1">
      <protection hidden="1"/>
    </xf>
    <xf numFmtId="0" fontId="1" fillId="7" borderId="5" xfId="0" applyFont="1" applyFill="1" applyBorder="1" applyProtection="1">
      <protection hidden="1"/>
    </xf>
    <xf numFmtId="0" fontId="1" fillId="7" borderId="0" xfId="0" applyFont="1" applyFill="1" applyAlignment="1" applyProtection="1">
      <alignment vertical="center"/>
      <protection hidden="1"/>
    </xf>
    <xf numFmtId="0" fontId="1" fillId="2" borderId="0" xfId="0" applyFont="1" applyFill="1" applyBorder="1" applyAlignment="1" applyProtection="1">
      <alignment vertical="center"/>
      <protection hidden="1"/>
    </xf>
    <xf numFmtId="0" fontId="1" fillId="2" borderId="0" xfId="0" applyFont="1" applyFill="1" applyAlignment="1" applyProtection="1">
      <alignment vertical="center"/>
      <protection hidden="1"/>
    </xf>
    <xf numFmtId="0" fontId="1" fillId="7" borderId="0" xfId="0" applyFont="1" applyFill="1" applyBorder="1" applyAlignment="1" applyProtection="1">
      <alignment vertical="center"/>
      <protection hidden="1"/>
    </xf>
    <xf numFmtId="0" fontId="1" fillId="7" borderId="3" xfId="0" applyFont="1" applyFill="1" applyBorder="1" applyAlignment="1" applyProtection="1">
      <alignment vertical="center"/>
      <protection hidden="1"/>
    </xf>
    <xf numFmtId="44" fontId="1" fillId="2" borderId="5" xfId="0" applyNumberFormat="1" applyFont="1" applyFill="1" applyBorder="1" applyAlignment="1" applyProtection="1">
      <protection hidden="1"/>
    </xf>
    <xf numFmtId="0" fontId="1" fillId="2" borderId="1" xfId="0" applyFont="1" applyFill="1" applyBorder="1" applyProtection="1">
      <protection hidden="1"/>
    </xf>
    <xf numFmtId="0" fontId="35" fillId="7" borderId="81" xfId="0" applyFont="1" applyFill="1" applyBorder="1" applyAlignment="1">
      <alignment horizontal="center" wrapText="1"/>
    </xf>
    <xf numFmtId="0" fontId="0" fillId="7" borderId="81" xfId="0" applyFill="1" applyBorder="1" applyAlignment="1">
      <alignment horizontal="center" wrapText="1"/>
    </xf>
    <xf numFmtId="0" fontId="0" fillId="7" borderId="82" xfId="0" applyFill="1" applyBorder="1" applyAlignment="1">
      <alignment horizontal="center" wrapText="1"/>
    </xf>
    <xf numFmtId="0" fontId="1" fillId="0" borderId="0" xfId="0" applyFont="1" applyFill="1" applyAlignment="1" applyProtection="1">
      <protection hidden="1"/>
    </xf>
    <xf numFmtId="0" fontId="44" fillId="7" borderId="81" xfId="0" applyNumberFormat="1" applyFont="1" applyFill="1" applyBorder="1" applyAlignment="1" applyProtection="1">
      <alignment horizontal="left"/>
      <protection hidden="1"/>
    </xf>
    <xf numFmtId="0" fontId="0" fillId="7" borderId="81" xfId="0" applyFill="1" applyBorder="1" applyAlignment="1"/>
    <xf numFmtId="0" fontId="1" fillId="2" borderId="0" xfId="0" applyFont="1" applyFill="1" applyBorder="1" applyAlignment="1">
      <alignment vertical="top" wrapText="1"/>
    </xf>
    <xf numFmtId="0" fontId="1" fillId="2" borderId="0" xfId="0" applyFont="1" applyFill="1" applyBorder="1" applyAlignment="1" applyProtection="1">
      <alignment vertical="top" wrapText="1"/>
      <protection hidden="1"/>
    </xf>
    <xf numFmtId="0" fontId="1" fillId="2" borderId="33" xfId="0" applyFont="1" applyFill="1" applyBorder="1" applyAlignment="1" applyProtection="1">
      <alignment vertical="top" wrapText="1"/>
      <protection hidden="1"/>
    </xf>
    <xf numFmtId="0" fontId="1" fillId="2" borderId="33" xfId="0" applyFont="1" applyFill="1" applyBorder="1" applyAlignment="1">
      <alignment vertical="top" wrapText="1"/>
    </xf>
    <xf numFmtId="0" fontId="1" fillId="2" borderId="3" xfId="0" applyFont="1" applyFill="1" applyBorder="1" applyAlignment="1" applyProtection="1">
      <alignment vertical="center"/>
      <protection hidden="1"/>
    </xf>
    <xf numFmtId="0" fontId="47" fillId="0" borderId="81" xfId="0" applyFont="1" applyFill="1" applyBorder="1" applyAlignment="1" applyProtection="1">
      <alignment horizontal="center"/>
      <protection hidden="1"/>
    </xf>
    <xf numFmtId="0" fontId="1" fillId="0" borderId="0" xfId="0" applyFont="1" applyFill="1" applyAlignment="1" applyProtection="1">
      <alignment vertical="center"/>
      <protection hidden="1"/>
    </xf>
    <xf numFmtId="0" fontId="1" fillId="7" borderId="2" xfId="0" applyFont="1" applyFill="1" applyBorder="1" applyAlignment="1" applyProtection="1">
      <alignment vertical="center"/>
      <protection hidden="1"/>
    </xf>
    <xf numFmtId="0" fontId="1" fillId="7" borderId="4" xfId="0" applyFont="1" applyFill="1" applyBorder="1" applyProtection="1">
      <protection hidden="1"/>
    </xf>
    <xf numFmtId="0" fontId="1" fillId="7" borderId="1" xfId="0" applyFont="1" applyFill="1" applyBorder="1" applyProtection="1">
      <protection hidden="1"/>
    </xf>
    <xf numFmtId="0" fontId="1" fillId="2" borderId="31" xfId="0" applyFont="1" applyFill="1" applyBorder="1" applyProtection="1">
      <protection hidden="1"/>
    </xf>
    <xf numFmtId="0" fontId="1" fillId="2" borderId="81" xfId="0" applyFont="1" applyFill="1" applyBorder="1" applyProtection="1">
      <protection hidden="1"/>
    </xf>
    <xf numFmtId="0" fontId="24" fillId="2" borderId="81" xfId="0" applyFont="1" applyFill="1" applyBorder="1" applyAlignment="1" applyProtection="1">
      <alignment horizontal="center"/>
      <protection hidden="1"/>
    </xf>
    <xf numFmtId="0" fontId="1" fillId="7" borderId="81" xfId="0" applyFont="1" applyFill="1" applyBorder="1" applyProtection="1">
      <protection hidden="1"/>
    </xf>
    <xf numFmtId="0" fontId="1" fillId="7" borderId="82" xfId="0" applyFont="1" applyFill="1" applyBorder="1" applyProtection="1">
      <protection hidden="1"/>
    </xf>
    <xf numFmtId="0" fontId="1" fillId="0" borderId="2" xfId="0" applyFont="1" applyFill="1" applyBorder="1" applyProtection="1">
      <protection hidden="1"/>
    </xf>
    <xf numFmtId="170" fontId="2" fillId="7" borderId="81" xfId="0" applyNumberFormat="1" applyFont="1" applyFill="1" applyBorder="1" applyAlignment="1" applyProtection="1">
      <alignment horizontal="right"/>
      <protection hidden="1"/>
    </xf>
    <xf numFmtId="170" fontId="0" fillId="7" borderId="81" xfId="0" applyNumberFormat="1" applyFill="1" applyBorder="1" applyAlignment="1" applyProtection="1">
      <alignment horizontal="right"/>
      <protection hidden="1"/>
    </xf>
    <xf numFmtId="1" fontId="2" fillId="7" borderId="81" xfId="0" applyNumberFormat="1" applyFont="1" applyFill="1" applyBorder="1" applyAlignment="1" applyProtection="1">
      <alignment horizontal="left"/>
      <protection hidden="1"/>
    </xf>
    <xf numFmtId="0" fontId="1" fillId="7" borderId="0" xfId="0" applyFont="1" applyFill="1" applyAlignment="1" applyProtection="1">
      <alignment horizontal="left" vertical="center" wrapText="1"/>
      <protection hidden="1"/>
    </xf>
    <xf numFmtId="0" fontId="1" fillId="7" borderId="0" xfId="0" applyFont="1" applyFill="1" applyAlignment="1" applyProtection="1">
      <alignment horizontal="left"/>
      <protection hidden="1"/>
    </xf>
    <xf numFmtId="49" fontId="1" fillId="2" borderId="0" xfId="0" applyNumberFormat="1" applyFont="1" applyFill="1" applyAlignment="1" applyProtection="1">
      <alignment vertical="top"/>
      <protection hidden="1"/>
    </xf>
    <xf numFmtId="0" fontId="1" fillId="2" borderId="0" xfId="0" applyFont="1" applyFill="1" applyBorder="1" applyAlignment="1" applyProtection="1">
      <alignment vertical="top"/>
      <protection hidden="1"/>
    </xf>
    <xf numFmtId="0" fontId="1" fillId="2" borderId="0" xfId="0" applyFont="1" applyFill="1" applyAlignment="1" applyProtection="1">
      <alignment horizontal="left" wrapText="1"/>
      <protection hidden="1"/>
    </xf>
    <xf numFmtId="0" fontId="1" fillId="2" borderId="0" xfId="0" applyFont="1" applyFill="1" applyAlignment="1" applyProtection="1">
      <alignment horizontal="left" vertical="center" wrapText="1"/>
      <protection hidden="1"/>
    </xf>
    <xf numFmtId="0" fontId="8" fillId="7" borderId="81" xfId="0" applyFont="1" applyFill="1" applyBorder="1" applyAlignment="1" applyProtection="1">
      <protection hidden="1"/>
    </xf>
    <xf numFmtId="0" fontId="1" fillId="2" borderId="0" xfId="0" applyFont="1" applyFill="1" applyAlignment="1" applyProtection="1">
      <alignment vertical="top" wrapText="1"/>
      <protection hidden="1"/>
    </xf>
    <xf numFmtId="49" fontId="1" fillId="2" borderId="0" xfId="0" applyNumberFormat="1" applyFont="1" applyFill="1" applyBorder="1" applyAlignment="1" applyProtection="1">
      <alignment vertical="top"/>
      <protection hidden="1"/>
    </xf>
    <xf numFmtId="0" fontId="1" fillId="2" borderId="0" xfId="0" applyFont="1" applyFill="1" applyAlignment="1" applyProtection="1">
      <alignment horizontal="left" vertical="top" wrapText="1"/>
      <protection hidden="1"/>
    </xf>
    <xf numFmtId="0" fontId="1" fillId="7" borderId="0" xfId="0" applyFont="1" applyFill="1" applyBorder="1" applyAlignment="1" applyProtection="1">
      <alignment horizontal="center"/>
      <protection hidden="1"/>
    </xf>
    <xf numFmtId="49" fontId="1" fillId="2" borderId="0" xfId="0" applyNumberFormat="1" applyFont="1" applyFill="1" applyBorder="1" applyAlignment="1" applyProtection="1">
      <alignment vertical="top" wrapText="1"/>
      <protection hidden="1"/>
    </xf>
    <xf numFmtId="49" fontId="1" fillId="7" borderId="0" xfId="0" applyNumberFormat="1" applyFont="1" applyFill="1" applyBorder="1" applyAlignment="1" applyProtection="1">
      <alignment vertical="top" wrapText="1"/>
      <protection hidden="1"/>
    </xf>
    <xf numFmtId="49" fontId="1" fillId="7" borderId="0" xfId="0" applyNumberFormat="1" applyFont="1" applyFill="1" applyAlignment="1" applyProtection="1">
      <alignment horizontal="left" vertical="top" wrapText="1"/>
      <protection hidden="1"/>
    </xf>
    <xf numFmtId="0" fontId="1" fillId="2" borderId="0" xfId="0" applyFont="1" applyFill="1" applyAlignment="1" applyProtection="1">
      <alignment vertical="top"/>
      <protection hidden="1"/>
    </xf>
    <xf numFmtId="49" fontId="1" fillId="7" borderId="0" xfId="0" applyNumberFormat="1" applyFont="1" applyFill="1" applyBorder="1" applyAlignment="1" applyProtection="1">
      <alignment vertical="top"/>
      <protection hidden="1"/>
    </xf>
    <xf numFmtId="9" fontId="1" fillId="7" borderId="0" xfId="0" applyNumberFormat="1" applyFont="1" applyFill="1" applyBorder="1" applyAlignment="1" applyProtection="1">
      <alignment horizontal="center" vertical="top"/>
      <protection hidden="1"/>
    </xf>
    <xf numFmtId="9" fontId="1" fillId="7" borderId="0" xfId="0" applyNumberFormat="1" applyFont="1" applyFill="1" applyAlignment="1" applyProtection="1">
      <alignment vertical="top"/>
      <protection hidden="1"/>
    </xf>
    <xf numFmtId="0" fontId="1" fillId="7" borderId="29" xfId="0" applyNumberFormat="1" applyFont="1" applyFill="1" applyBorder="1" applyAlignment="1" applyProtection="1">
      <alignment horizontal="left" vertical="top"/>
      <protection hidden="1"/>
    </xf>
    <xf numFmtId="14" fontId="1" fillId="7" borderId="0" xfId="0" applyNumberFormat="1" applyFont="1" applyFill="1" applyBorder="1" applyAlignment="1" applyProtection="1">
      <alignment horizontal="center" vertical="top"/>
      <protection hidden="1"/>
    </xf>
    <xf numFmtId="0" fontId="1" fillId="7" borderId="0" xfId="0" applyNumberFormat="1" applyFont="1" applyFill="1" applyBorder="1" applyAlignment="1" applyProtection="1">
      <alignment horizontal="center" vertical="top"/>
      <protection hidden="1"/>
    </xf>
    <xf numFmtId="49" fontId="1" fillId="7" borderId="0" xfId="0" applyNumberFormat="1" applyFont="1" applyFill="1" applyAlignment="1" applyProtection="1">
      <alignment vertical="center"/>
      <protection hidden="1"/>
    </xf>
    <xf numFmtId="177" fontId="1" fillId="7" borderId="0" xfId="0" applyNumberFormat="1" applyFont="1" applyFill="1" applyAlignment="1" applyProtection="1">
      <alignment vertical="top"/>
      <protection hidden="1"/>
    </xf>
    <xf numFmtId="177" fontId="1" fillId="2" borderId="0" xfId="0" applyNumberFormat="1" applyFont="1" applyFill="1" applyAlignment="1" applyProtection="1">
      <alignment vertical="top"/>
      <protection hidden="1"/>
    </xf>
    <xf numFmtId="0" fontId="1" fillId="7" borderId="0" xfId="0" applyNumberFormat="1" applyFont="1" applyFill="1" applyBorder="1" applyAlignment="1" applyProtection="1">
      <alignment vertical="top"/>
      <protection hidden="1"/>
    </xf>
    <xf numFmtId="0" fontId="1" fillId="2" borderId="0" xfId="0" applyFont="1" applyFill="1" applyAlignment="1" applyProtection="1">
      <alignment horizontal="left" vertical="top"/>
      <protection hidden="1"/>
    </xf>
    <xf numFmtId="168" fontId="1" fillId="2" borderId="0" xfId="0" applyNumberFormat="1" applyFont="1" applyFill="1" applyBorder="1" applyAlignment="1" applyProtection="1">
      <alignment horizontal="left" vertical="top" wrapText="1"/>
      <protection hidden="1"/>
    </xf>
    <xf numFmtId="0" fontId="1" fillId="2" borderId="81" xfId="0" applyFont="1" applyFill="1" applyBorder="1" applyAlignment="1" applyProtection="1">
      <alignment vertical="top" wrapText="1"/>
      <protection hidden="1"/>
    </xf>
    <xf numFmtId="49" fontId="1" fillId="0" borderId="0" xfId="0" applyNumberFormat="1" applyFont="1" applyFill="1"/>
    <xf numFmtId="0" fontId="1" fillId="0" borderId="0" xfId="0" applyFont="1" applyFill="1"/>
    <xf numFmtId="49" fontId="1" fillId="0" borderId="0" xfId="0" applyNumberFormat="1" applyFont="1" applyFill="1" applyAlignment="1">
      <alignment vertical="top"/>
    </xf>
    <xf numFmtId="0" fontId="64" fillId="7" borderId="0" xfId="0" applyFont="1" applyFill="1" applyAlignment="1" applyProtection="1">
      <protection hidden="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65" fontId="1" fillId="0" borderId="3" xfId="0" applyNumberFormat="1"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65" fontId="1" fillId="0" borderId="1" xfId="0" applyNumberFormat="1" applyFont="1" applyBorder="1" applyAlignment="1">
      <alignment horizontal="center"/>
    </xf>
    <xf numFmtId="0" fontId="0" fillId="7" borderId="82" xfId="0" applyFill="1" applyBorder="1"/>
    <xf numFmtId="1" fontId="1" fillId="2" borderId="0" xfId="0" applyNumberFormat="1" applyFont="1" applyFill="1" applyProtection="1">
      <protection hidden="1"/>
    </xf>
    <xf numFmtId="0" fontId="1" fillId="0" borderId="0" xfId="0" applyFont="1" applyFill="1" applyBorder="1"/>
    <xf numFmtId="49" fontId="1" fillId="2" borderId="0" xfId="0" applyNumberFormat="1" applyFont="1" applyFill="1" applyAlignment="1" applyProtection="1">
      <protection hidden="1"/>
    </xf>
    <xf numFmtId="49" fontId="1" fillId="2" borderId="0" xfId="0" applyNumberFormat="1" applyFont="1" applyFill="1" applyAlignment="1" applyProtection="1">
      <alignment horizontal="center"/>
      <protection hidden="1"/>
    </xf>
    <xf numFmtId="0" fontId="1" fillId="2" borderId="0" xfId="0" applyFont="1" applyFill="1" applyBorder="1" applyAlignment="1">
      <alignment horizontal="left"/>
    </xf>
    <xf numFmtId="14" fontId="13" fillId="2" borderId="81" xfId="0" applyNumberFormat="1" applyFont="1" applyFill="1" applyBorder="1" applyAlignment="1" applyProtection="1">
      <alignment wrapText="1"/>
      <protection hidden="1"/>
    </xf>
    <xf numFmtId="0" fontId="1" fillId="2" borderId="0" xfId="0" applyFont="1" applyFill="1" applyBorder="1" applyAlignment="1" applyProtection="1">
      <alignment wrapText="1"/>
      <protection hidden="1"/>
    </xf>
    <xf numFmtId="0" fontId="1" fillId="0" borderId="5" xfId="0" applyFont="1" applyFill="1" applyBorder="1" applyAlignment="1" applyProtection="1">
      <alignment horizontal="center" vertical="top" wrapText="1"/>
      <protection hidden="1"/>
    </xf>
    <xf numFmtId="0" fontId="1" fillId="0" borderId="82" xfId="0" applyFont="1" applyFill="1" applyBorder="1" applyAlignment="1" applyProtection="1">
      <alignment vertical="top" wrapText="1"/>
      <protection hidden="1"/>
    </xf>
    <xf numFmtId="169" fontId="1" fillId="0" borderId="8" xfId="0" applyNumberFormat="1" applyFont="1" applyBorder="1" applyAlignment="1" applyProtection="1">
      <alignment horizontal="left"/>
      <protection hidden="1"/>
    </xf>
    <xf numFmtId="169" fontId="1" fillId="0" borderId="9" xfId="0" applyNumberFormat="1" applyFont="1" applyBorder="1" applyAlignment="1" applyProtection="1">
      <alignment horizontal="left"/>
      <protection hidden="1"/>
    </xf>
    <xf numFmtId="169" fontId="1" fillId="0" borderId="10" xfId="0" applyNumberFormat="1" applyFont="1" applyBorder="1" applyAlignment="1" applyProtection="1">
      <alignment horizontal="left"/>
      <protection hidden="1"/>
    </xf>
    <xf numFmtId="169" fontId="1" fillId="0" borderId="11" xfId="0" applyNumberFormat="1" applyFont="1" applyBorder="1" applyAlignment="1" applyProtection="1">
      <alignment horizontal="left"/>
      <protection hidden="1"/>
    </xf>
    <xf numFmtId="0" fontId="1" fillId="0" borderId="8" xfId="0" applyFont="1" applyBorder="1" applyAlignment="1" applyProtection="1">
      <alignment horizontal="center"/>
      <protection hidden="1"/>
    </xf>
    <xf numFmtId="0" fontId="1" fillId="0" borderId="6" xfId="0" applyFont="1" applyBorder="1" applyAlignment="1" applyProtection="1">
      <alignment horizontal="center"/>
      <protection hidden="1"/>
    </xf>
    <xf numFmtId="0" fontId="1" fillId="0" borderId="15" xfId="0" applyFont="1" applyBorder="1" applyAlignment="1" applyProtection="1">
      <alignment horizontal="center"/>
      <protection hidden="1"/>
    </xf>
    <xf numFmtId="0" fontId="1" fillId="0" borderId="4" xfId="0" applyFont="1" applyBorder="1" applyAlignment="1" applyProtection="1">
      <alignment horizontal="center"/>
      <protection hidden="1"/>
    </xf>
    <xf numFmtId="0" fontId="1" fillId="0" borderId="25" xfId="0" applyFont="1" applyBorder="1" applyAlignment="1" applyProtection="1">
      <alignment horizontal="center"/>
      <protection hidden="1"/>
    </xf>
    <xf numFmtId="0" fontId="1" fillId="0" borderId="10" xfId="0" applyFont="1" applyBorder="1" applyAlignment="1" applyProtection="1">
      <alignment horizontal="center"/>
      <protection hidden="1"/>
    </xf>
    <xf numFmtId="0" fontId="1" fillId="0" borderId="0" xfId="0" applyFont="1" applyBorder="1" applyAlignment="1" applyProtection="1">
      <alignment horizontal="left"/>
      <protection hidden="1"/>
    </xf>
    <xf numFmtId="0" fontId="1" fillId="0" borderId="0" xfId="0" applyFont="1" applyBorder="1" applyAlignment="1" applyProtection="1">
      <protection hidden="1"/>
    </xf>
    <xf numFmtId="170" fontId="1" fillId="0" borderId="23" xfId="0" applyNumberFormat="1" applyFont="1" applyBorder="1" applyAlignment="1">
      <alignment horizontal="right"/>
    </xf>
    <xf numFmtId="1" fontId="1" fillId="0" borderId="20" xfId="0" applyNumberFormat="1" applyFont="1" applyBorder="1" applyAlignment="1" applyProtection="1">
      <alignment horizontal="left"/>
      <protection hidden="1"/>
    </xf>
    <xf numFmtId="0" fontId="0" fillId="0" borderId="81" xfId="0" applyBorder="1" applyAlignment="1" applyProtection="1">
      <alignment horizontal="center" wrapText="1"/>
      <protection hidden="1"/>
    </xf>
    <xf numFmtId="166" fontId="0" fillId="0" borderId="81" xfId="0" applyNumberFormat="1" applyBorder="1" applyAlignment="1" applyProtection="1">
      <alignment horizontal="center"/>
      <protection hidden="1"/>
    </xf>
    <xf numFmtId="12" fontId="2" fillId="0" borderId="81" xfId="0" applyNumberFormat="1" applyFont="1" applyBorder="1" applyAlignment="1" applyProtection="1">
      <alignment horizontal="center"/>
      <protection hidden="1"/>
    </xf>
    <xf numFmtId="166" fontId="1" fillId="0" borderId="81" xfId="0" applyNumberFormat="1" applyFont="1" applyBorder="1" applyAlignment="1" applyProtection="1">
      <alignment horizontal="center" vertical="center"/>
      <protection hidden="1"/>
    </xf>
    <xf numFmtId="166" fontId="0" fillId="0" borderId="81" xfId="0" applyNumberFormat="1" applyBorder="1" applyAlignment="1" applyProtection="1">
      <alignment horizontal="center" wrapText="1"/>
      <protection hidden="1"/>
    </xf>
    <xf numFmtId="166" fontId="1" fillId="0" borderId="0" xfId="0" applyNumberFormat="1" applyFont="1" applyBorder="1" applyAlignment="1" applyProtection="1">
      <alignment horizontal="center" vertical="center"/>
      <protection hidden="1"/>
    </xf>
    <xf numFmtId="166" fontId="0" fillId="0" borderId="81" xfId="0" applyNumberFormat="1" applyBorder="1" applyAlignment="1" applyProtection="1">
      <alignment horizontal="center" vertical="center"/>
      <protection hidden="1"/>
    </xf>
    <xf numFmtId="1" fontId="0" fillId="0" borderId="81" xfId="0" applyNumberFormat="1" applyBorder="1" applyAlignment="1" applyProtection="1">
      <alignment horizontal="center" wrapText="1"/>
      <protection hidden="1"/>
    </xf>
    <xf numFmtId="0" fontId="0" fillId="0" borderId="81" xfId="0" applyBorder="1" applyAlignment="1" applyProtection="1">
      <alignment horizontal="center"/>
      <protection hidden="1"/>
    </xf>
    <xf numFmtId="166" fontId="6" fillId="0" borderId="81" xfId="0" applyNumberFormat="1" applyFont="1" applyBorder="1" applyAlignment="1" applyProtection="1">
      <alignment horizontal="center" vertical="center"/>
      <protection hidden="1"/>
    </xf>
    <xf numFmtId="12" fontId="0" fillId="0" borderId="81" xfId="0" applyNumberFormat="1" applyBorder="1" applyAlignment="1" applyProtection="1">
      <alignment horizontal="center"/>
      <protection hidden="1"/>
    </xf>
    <xf numFmtId="1" fontId="0" fillId="0" borderId="81" xfId="0" applyNumberFormat="1" applyBorder="1" applyAlignment="1" applyProtection="1">
      <alignment horizontal="center"/>
      <protection hidden="1"/>
    </xf>
    <xf numFmtId="0" fontId="26" fillId="0" borderId="0" xfId="3" applyFill="1" applyBorder="1" applyAlignment="1" applyProtection="1">
      <alignment horizontal="left" vertical="center" indent="1"/>
      <protection locked="0"/>
    </xf>
    <xf numFmtId="0" fontId="26" fillId="0" borderId="3" xfId="3" applyFill="1" applyBorder="1" applyAlignment="1" applyProtection="1">
      <alignment horizontal="left" vertical="center" indent="1"/>
      <protection locked="0"/>
    </xf>
    <xf numFmtId="44" fontId="8" fillId="2" borderId="5" xfId="0" applyNumberFormat="1" applyFont="1" applyFill="1" applyBorder="1" applyAlignment="1" applyProtection="1">
      <alignment horizontal="center"/>
      <protection hidden="1"/>
    </xf>
    <xf numFmtId="0" fontId="0" fillId="0" borderId="5" xfId="0" applyBorder="1" applyAlignment="1"/>
    <xf numFmtId="0" fontId="1" fillId="2" borderId="0" xfId="0" applyFont="1" applyFill="1" applyAlignment="1" applyProtection="1">
      <protection hidden="1"/>
    </xf>
    <xf numFmtId="0" fontId="0" fillId="0" borderId="0" xfId="0" applyAlignment="1"/>
    <xf numFmtId="43" fontId="8" fillId="2" borderId="0" xfId="0" applyNumberFormat="1" applyFont="1" applyFill="1" applyBorder="1" applyAlignment="1" applyProtection="1">
      <alignment horizontal="left"/>
      <protection hidden="1"/>
    </xf>
    <xf numFmtId="43" fontId="0" fillId="0" borderId="0" xfId="0" applyNumberFormat="1" applyBorder="1" applyAlignment="1"/>
    <xf numFmtId="196" fontId="2" fillId="0" borderId="81" xfId="0" applyNumberFormat="1" applyFont="1" applyBorder="1" applyAlignment="1" applyProtection="1">
      <alignment horizontal="center"/>
      <protection hidden="1"/>
    </xf>
    <xf numFmtId="196" fontId="2" fillId="0" borderId="30" xfId="0" applyNumberFormat="1" applyFont="1" applyBorder="1" applyAlignment="1" applyProtection="1">
      <alignment horizontal="center"/>
      <protection hidden="1"/>
    </xf>
    <xf numFmtId="0" fontId="8" fillId="2" borderId="0" xfId="0" applyFont="1" applyFill="1" applyBorder="1" applyAlignment="1" applyProtection="1">
      <alignment horizontal="center"/>
      <protection hidden="1"/>
    </xf>
    <xf numFmtId="0" fontId="2" fillId="2" borderId="0" xfId="0" applyFont="1" applyFill="1" applyBorder="1" applyAlignment="1" applyProtection="1">
      <alignment vertical="center"/>
      <protection hidden="1"/>
    </xf>
    <xf numFmtId="0" fontId="0" fillId="2" borderId="0" xfId="0" applyFill="1" applyBorder="1" applyAlignment="1">
      <alignment vertical="center"/>
    </xf>
    <xf numFmtId="0" fontId="0" fillId="0" borderId="0" xfId="0" applyBorder="1" applyAlignment="1"/>
    <xf numFmtId="0" fontId="0" fillId="0" borderId="3" xfId="0" applyBorder="1" applyAlignment="1"/>
    <xf numFmtId="174" fontId="2" fillId="0" borderId="2" xfId="0" applyNumberFormat="1" applyFont="1" applyFill="1" applyBorder="1" applyAlignment="1" applyProtection="1">
      <alignment horizontal="left"/>
      <protection hidden="1"/>
    </xf>
    <xf numFmtId="0" fontId="0" fillId="0" borderId="0" xfId="0" applyBorder="1" applyAlignment="1" applyProtection="1">
      <protection hidden="1"/>
    </xf>
    <xf numFmtId="0" fontId="0" fillId="0" borderId="3" xfId="0" applyBorder="1" applyAlignment="1" applyProtection="1">
      <protection hidden="1"/>
    </xf>
    <xf numFmtId="44" fontId="2" fillId="2" borderId="29" xfId="0" applyNumberFormat="1" applyFont="1" applyFill="1" applyBorder="1" applyAlignment="1" applyProtection="1">
      <alignment horizontal="center"/>
      <protection hidden="1"/>
    </xf>
    <xf numFmtId="44" fontId="2" fillId="2" borderId="28" xfId="0" applyNumberFormat="1" applyFont="1" applyFill="1" applyBorder="1" applyAlignment="1" applyProtection="1">
      <alignment horizontal="center"/>
      <protection hidden="1"/>
    </xf>
    <xf numFmtId="0" fontId="0" fillId="0" borderId="27" xfId="0" applyBorder="1" applyAlignment="1" applyProtection="1">
      <protection hidden="1"/>
    </xf>
    <xf numFmtId="0" fontId="2" fillId="2" borderId="2" xfId="0" applyFont="1" applyFill="1" applyBorder="1" applyAlignment="1" applyProtection="1">
      <protection hidden="1"/>
    </xf>
    <xf numFmtId="0" fontId="0" fillId="2" borderId="0" xfId="0" applyFill="1" applyBorder="1" applyAlignment="1"/>
    <xf numFmtId="0" fontId="2" fillId="2" borderId="0" xfId="2" applyNumberFormat="1" applyFont="1" applyFill="1" applyBorder="1" applyAlignment="1" applyProtection="1">
      <alignment horizontal="right"/>
      <protection hidden="1"/>
    </xf>
    <xf numFmtId="0" fontId="0" fillId="2" borderId="0" xfId="0" applyFill="1" applyAlignment="1"/>
    <xf numFmtId="0" fontId="2" fillId="7" borderId="0" xfId="0" applyFont="1" applyFill="1" applyBorder="1" applyAlignment="1" applyProtection="1">
      <protection hidden="1"/>
    </xf>
    <xf numFmtId="0" fontId="0" fillId="0" borderId="0" xfId="0" applyAlignment="1" applyProtection="1">
      <protection hidden="1"/>
    </xf>
    <xf numFmtId="0" fontId="2" fillId="2" borderId="0" xfId="0" applyFont="1" applyFill="1" applyBorder="1" applyAlignment="1" applyProtection="1">
      <alignment horizontal="right"/>
      <protection hidden="1"/>
    </xf>
    <xf numFmtId="0" fontId="0" fillId="0" borderId="0" xfId="0" applyAlignment="1">
      <alignment horizontal="right"/>
    </xf>
    <xf numFmtId="0" fontId="0" fillId="0" borderId="3" xfId="0" applyBorder="1" applyAlignment="1">
      <alignment horizontal="right"/>
    </xf>
    <xf numFmtId="44" fontId="2" fillId="0" borderId="29" xfId="0" applyNumberFormat="1" applyFont="1" applyFill="1" applyBorder="1" applyAlignment="1" applyProtection="1">
      <protection locked="0"/>
    </xf>
    <xf numFmtId="44" fontId="2" fillId="0" borderId="28" xfId="0" applyNumberFormat="1" applyFont="1" applyFill="1" applyBorder="1" applyAlignment="1" applyProtection="1">
      <protection locked="0"/>
    </xf>
    <xf numFmtId="44" fontId="2" fillId="0" borderId="27" xfId="0" applyNumberFormat="1" applyFont="1" applyFill="1" applyBorder="1" applyAlignment="1" applyProtection="1">
      <protection locked="0"/>
    </xf>
    <xf numFmtId="0" fontId="2" fillId="2" borderId="2" xfId="0" applyFont="1" applyFill="1" applyBorder="1" applyAlignment="1" applyProtection="1">
      <alignment vertical="top"/>
      <protection hidden="1"/>
    </xf>
    <xf numFmtId="0" fontId="0" fillId="0" borderId="0" xfId="0" applyBorder="1" applyAlignment="1">
      <alignment vertical="top"/>
    </xf>
    <xf numFmtId="0" fontId="0" fillId="0" borderId="3" xfId="0" applyBorder="1" applyAlignment="1">
      <alignment vertical="top"/>
    </xf>
    <xf numFmtId="0" fontId="2" fillId="2" borderId="0" xfId="0" applyFont="1" applyFill="1" applyBorder="1" applyAlignment="1" applyProtection="1">
      <protection hidden="1"/>
    </xf>
    <xf numFmtId="0" fontId="2" fillId="2" borderId="2" xfId="0" applyFont="1" applyFill="1" applyBorder="1" applyAlignment="1" applyProtection="1">
      <alignment horizontal="center"/>
      <protection hidden="1"/>
    </xf>
    <xf numFmtId="39" fontId="8" fillId="2" borderId="5" xfId="0" applyNumberFormat="1" applyFont="1" applyFill="1" applyBorder="1" applyAlignment="1" applyProtection="1">
      <alignment horizontal="right"/>
      <protection hidden="1"/>
    </xf>
    <xf numFmtId="39" fontId="0" fillId="0" borderId="5" xfId="0" applyNumberFormat="1" applyBorder="1" applyAlignment="1" applyProtection="1">
      <alignment horizontal="right"/>
      <protection hidden="1"/>
    </xf>
    <xf numFmtId="168" fontId="2" fillId="0" borderId="29" xfId="0" applyNumberFormat="1" applyFont="1" applyFill="1" applyBorder="1" applyAlignment="1" applyProtection="1">
      <alignment horizontal="center"/>
      <protection locked="0"/>
    </xf>
    <xf numFmtId="168" fontId="2" fillId="0" borderId="28" xfId="0" applyNumberFormat="1" applyFont="1" applyFill="1" applyBorder="1" applyAlignment="1" applyProtection="1">
      <alignment horizontal="center"/>
      <protection locked="0"/>
    </xf>
    <xf numFmtId="168" fontId="2" fillId="0" borderId="27" xfId="0" applyNumberFormat="1" applyFont="1" applyFill="1" applyBorder="1" applyAlignment="1" applyProtection="1">
      <alignment horizontal="center"/>
      <protection locked="0"/>
    </xf>
    <xf numFmtId="44" fontId="2" fillId="7" borderId="0" xfId="0" applyNumberFormat="1" applyFont="1" applyFill="1" applyBorder="1" applyAlignment="1" applyProtection="1">
      <alignment horizontal="center"/>
      <protection locked="0"/>
    </xf>
    <xf numFmtId="44" fontId="0" fillId="0" borderId="0" xfId="0" applyNumberFormat="1" applyBorder="1" applyAlignment="1" applyProtection="1">
      <protection locked="0"/>
    </xf>
    <xf numFmtId="0" fontId="2" fillId="7" borderId="2" xfId="0" applyFont="1" applyFill="1" applyBorder="1" applyAlignment="1" applyProtection="1">
      <alignment vertical="center"/>
      <protection hidden="1"/>
    </xf>
    <xf numFmtId="0" fontId="0" fillId="0" borderId="0" xfId="0" applyBorder="1" applyAlignment="1">
      <alignment vertical="center"/>
    </xf>
    <xf numFmtId="44" fontId="2" fillId="0" borderId="4" xfId="0" applyNumberFormat="1" applyFont="1" applyFill="1" applyBorder="1" applyAlignment="1" applyProtection="1">
      <alignment horizontal="center"/>
      <protection locked="0"/>
    </xf>
    <xf numFmtId="44" fontId="2" fillId="0" borderId="5" xfId="0" applyNumberFormat="1" applyFont="1" applyFill="1" applyBorder="1" applyAlignment="1" applyProtection="1">
      <alignment horizontal="center"/>
      <protection locked="0"/>
    </xf>
    <xf numFmtId="0" fontId="0" fillId="0" borderId="1" xfId="0" applyFill="1" applyBorder="1" applyAlignment="1" applyProtection="1">
      <protection locked="0"/>
    </xf>
    <xf numFmtId="0" fontId="2" fillId="2" borderId="2" xfId="0" applyFont="1" applyFill="1" applyBorder="1" applyAlignment="1" applyProtection="1">
      <alignment vertical="center"/>
      <protection hidden="1"/>
    </xf>
    <xf numFmtId="0" fontId="0" fillId="0" borderId="3" xfId="0" applyBorder="1" applyAlignment="1">
      <alignment vertical="center"/>
    </xf>
    <xf numFmtId="0" fontId="1" fillId="0" borderId="29" xfId="0" applyFont="1" applyFill="1" applyBorder="1" applyAlignment="1" applyProtection="1">
      <alignment vertical="top" wrapText="1"/>
      <protection locked="0"/>
    </xf>
    <xf numFmtId="0" fontId="0" fillId="0" borderId="28" xfId="0" applyBorder="1" applyAlignment="1" applyProtection="1">
      <alignment wrapText="1"/>
      <protection locked="0"/>
    </xf>
    <xf numFmtId="0" fontId="0" fillId="0" borderId="27" xfId="0" applyBorder="1" applyAlignment="1" applyProtection="1">
      <alignment wrapText="1"/>
      <protection locked="0"/>
    </xf>
    <xf numFmtId="0" fontId="1" fillId="0" borderId="81" xfId="0" applyFont="1" applyFill="1" applyBorder="1" applyAlignment="1" applyProtection="1">
      <alignment horizontal="center" vertical="center"/>
      <protection hidden="1"/>
    </xf>
    <xf numFmtId="0" fontId="1" fillId="8" borderId="29" xfId="0" applyFont="1" applyFill="1" applyBorder="1" applyAlignment="1" applyProtection="1">
      <alignment horizontal="center" vertical="center"/>
      <protection hidden="1"/>
    </xf>
    <xf numFmtId="0" fontId="1" fillId="8" borderId="28" xfId="0" applyFont="1" applyFill="1" applyBorder="1" applyAlignment="1" applyProtection="1">
      <alignment horizontal="center" vertical="center"/>
      <protection hidden="1"/>
    </xf>
    <xf numFmtId="0" fontId="1" fillId="8" borderId="27" xfId="0" applyFont="1" applyFill="1" applyBorder="1" applyAlignment="1" applyProtection="1">
      <alignment horizontal="center" vertical="center"/>
      <protection hidden="1"/>
    </xf>
    <xf numFmtId="0" fontId="9" fillId="2" borderId="81" xfId="0" applyFont="1" applyFill="1" applyBorder="1" applyAlignment="1" applyProtection="1">
      <alignment horizontal="right" vertical="center"/>
      <protection hidden="1"/>
    </xf>
    <xf numFmtId="0" fontId="30" fillId="2" borderId="29" xfId="0" applyFont="1" applyFill="1" applyBorder="1" applyAlignment="1" applyProtection="1">
      <alignment horizontal="center" vertical="center"/>
      <protection hidden="1"/>
    </xf>
    <xf numFmtId="0" fontId="30" fillId="2" borderId="28" xfId="0" applyFont="1" applyFill="1" applyBorder="1" applyAlignment="1" applyProtection="1">
      <alignment horizontal="center" vertical="center"/>
      <protection hidden="1"/>
    </xf>
    <xf numFmtId="0" fontId="30" fillId="2" borderId="27" xfId="0" applyFont="1" applyFill="1" applyBorder="1" applyAlignment="1" applyProtection="1">
      <alignment horizontal="center" vertical="center"/>
      <protection hidden="1"/>
    </xf>
    <xf numFmtId="174" fontId="2" fillId="0" borderId="29" xfId="0" applyNumberFormat="1" applyFont="1" applyFill="1" applyBorder="1" applyAlignment="1" applyProtection="1">
      <alignment horizontal="center"/>
      <protection locked="0"/>
    </xf>
    <xf numFmtId="174" fontId="2" fillId="0" borderId="28" xfId="0" applyNumberFormat="1" applyFont="1" applyFill="1" applyBorder="1" applyAlignment="1" applyProtection="1">
      <alignment horizontal="center"/>
      <protection locked="0"/>
    </xf>
    <xf numFmtId="174" fontId="2" fillId="0" borderId="27" xfId="0" applyNumberFormat="1" applyFont="1" applyFill="1" applyBorder="1" applyAlignment="1" applyProtection="1">
      <alignment horizontal="center"/>
      <protection locked="0"/>
    </xf>
    <xf numFmtId="0" fontId="26" fillId="0" borderId="5" xfId="3" applyFill="1" applyBorder="1" applyAlignment="1" applyProtection="1">
      <alignment horizontal="center" vertical="center"/>
      <protection locked="0"/>
    </xf>
    <xf numFmtId="0" fontId="0" fillId="2" borderId="26" xfId="0" applyNumberFormat="1" applyFill="1" applyBorder="1" applyAlignment="1" applyProtection="1">
      <alignment horizontal="left" vertical="center"/>
      <protection hidden="1"/>
    </xf>
    <xf numFmtId="0" fontId="0" fillId="2" borderId="26" xfId="0" applyFill="1" applyBorder="1" applyAlignment="1" applyProtection="1">
      <protection hidden="1"/>
    </xf>
    <xf numFmtId="0" fontId="1" fillId="2" borderId="29" xfId="0" applyFont="1"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164" fontId="0" fillId="2" borderId="29" xfId="0" applyNumberFormat="1" applyFill="1" applyBorder="1" applyAlignment="1" applyProtection="1">
      <alignment horizontal="center" vertical="top"/>
      <protection hidden="1"/>
    </xf>
    <xf numFmtId="0" fontId="0" fillId="2" borderId="28" xfId="0" applyFill="1" applyBorder="1" applyAlignment="1"/>
    <xf numFmtId="0" fontId="0" fillId="2" borderId="27" xfId="0" applyFill="1" applyBorder="1" applyAlignment="1"/>
    <xf numFmtId="0" fontId="1" fillId="8" borderId="29" xfId="0" applyFont="1" applyFill="1" applyBorder="1" applyAlignment="1" applyProtection="1">
      <alignment horizontal="left" vertical="top" wrapText="1"/>
      <protection locked="0"/>
    </xf>
    <xf numFmtId="0" fontId="0" fillId="8" borderId="28" xfId="0" applyFill="1" applyBorder="1" applyAlignment="1" applyProtection="1">
      <alignment horizontal="left" vertical="top" wrapText="1"/>
      <protection locked="0"/>
    </xf>
    <xf numFmtId="0" fontId="0" fillId="8" borderId="27" xfId="0" applyFill="1" applyBorder="1" applyAlignment="1" applyProtection="1">
      <alignment horizontal="left" vertical="top" wrapText="1"/>
      <protection locked="0"/>
    </xf>
    <xf numFmtId="0" fontId="1" fillId="2" borderId="2"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2" fillId="8" borderId="29" xfId="0" applyFont="1" applyFill="1" applyBorder="1" applyAlignment="1" applyProtection="1">
      <alignment horizontal="center" vertical="top" wrapText="1"/>
      <protection locked="0"/>
    </xf>
    <xf numFmtId="0" fontId="2" fillId="8" borderId="28" xfId="0" applyFont="1" applyFill="1" applyBorder="1" applyAlignment="1" applyProtection="1">
      <alignment horizontal="center" vertical="top" wrapText="1"/>
      <protection locked="0"/>
    </xf>
    <xf numFmtId="0" fontId="2" fillId="8" borderId="27" xfId="0" applyFont="1" applyFill="1" applyBorder="1" applyAlignment="1" applyProtection="1">
      <alignment horizontal="center" vertical="top" wrapText="1"/>
      <protection locked="0"/>
    </xf>
    <xf numFmtId="168" fontId="2" fillId="8" borderId="29" xfId="0" applyNumberFormat="1" applyFont="1" applyFill="1" applyBorder="1" applyAlignment="1" applyProtection="1">
      <alignment horizontal="center" vertical="top"/>
      <protection locked="0"/>
    </xf>
    <xf numFmtId="0" fontId="2" fillId="0" borderId="28" xfId="0" applyFont="1" applyBorder="1" applyAlignment="1" applyProtection="1">
      <protection locked="0"/>
    </xf>
    <xf numFmtId="0" fontId="2" fillId="0" borderId="27" xfId="0" applyFont="1" applyBorder="1" applyAlignment="1" applyProtection="1">
      <protection locked="0"/>
    </xf>
    <xf numFmtId="0" fontId="0" fillId="0" borderId="0" xfId="0" applyAlignment="1">
      <alignment horizontal="center"/>
    </xf>
    <xf numFmtId="0" fontId="1" fillId="8" borderId="28" xfId="0" applyFont="1" applyFill="1" applyBorder="1" applyAlignment="1" applyProtection="1">
      <alignment horizontal="left" vertical="top" wrapText="1"/>
      <protection locked="0"/>
    </xf>
    <xf numFmtId="0" fontId="1" fillId="8" borderId="27" xfId="0" applyFont="1" applyFill="1" applyBorder="1" applyAlignment="1" applyProtection="1">
      <alignment horizontal="left" vertical="top" wrapText="1"/>
      <protection locked="0"/>
    </xf>
    <xf numFmtId="0" fontId="0" fillId="7" borderId="0" xfId="0" applyFill="1" applyAlignment="1" applyProtection="1">
      <protection hidden="1"/>
    </xf>
    <xf numFmtId="0" fontId="0" fillId="7" borderId="0" xfId="0" applyFill="1" applyAlignment="1"/>
    <xf numFmtId="0" fontId="1" fillId="7" borderId="0" xfId="0" applyFont="1" applyFill="1" applyBorder="1" applyAlignment="1" applyProtection="1">
      <protection hidden="1"/>
    </xf>
    <xf numFmtId="0" fontId="0" fillId="7" borderId="0" xfId="0" applyFill="1" applyBorder="1" applyAlignment="1" applyProtection="1">
      <protection hidden="1"/>
    </xf>
    <xf numFmtId="0" fontId="0" fillId="7" borderId="81" xfId="0" applyFill="1" applyBorder="1" applyAlignment="1">
      <alignment horizontal="center"/>
    </xf>
    <xf numFmtId="168" fontId="0" fillId="2" borderId="0" xfId="0" applyNumberFormat="1" applyFill="1" applyBorder="1" applyAlignment="1" applyProtection="1">
      <alignment horizontal="left"/>
      <protection hidden="1"/>
    </xf>
    <xf numFmtId="0" fontId="0" fillId="0" borderId="0" xfId="0" applyBorder="1" applyAlignment="1">
      <alignment horizontal="left"/>
    </xf>
    <xf numFmtId="0" fontId="1" fillId="7" borderId="2" xfId="0" applyFont="1" applyFill="1" applyBorder="1" applyAlignment="1" applyProtection="1">
      <protection hidden="1"/>
    </xf>
    <xf numFmtId="0" fontId="1" fillId="8" borderId="29" xfId="0" applyFont="1" applyFill="1" applyBorder="1" applyAlignment="1" applyProtection="1">
      <protection locked="0"/>
    </xf>
    <xf numFmtId="0" fontId="0" fillId="8" borderId="28" xfId="0" applyFill="1" applyBorder="1" applyAlignment="1" applyProtection="1">
      <protection locked="0"/>
    </xf>
    <xf numFmtId="0" fontId="1" fillId="7" borderId="29" xfId="0" applyFont="1" applyFill="1" applyBorder="1" applyAlignment="1" applyProtection="1">
      <alignment horizontal="center"/>
      <protection hidden="1"/>
    </xf>
    <xf numFmtId="0" fontId="0" fillId="0" borderId="28" xfId="0" applyBorder="1" applyAlignment="1" applyProtection="1">
      <protection hidden="1"/>
    </xf>
    <xf numFmtId="0" fontId="0" fillId="0" borderId="29" xfId="0" applyBorder="1" applyAlignment="1" applyProtection="1">
      <protection hidden="1"/>
    </xf>
    <xf numFmtId="0" fontId="1" fillId="7" borderId="26" xfId="0" applyFont="1" applyFill="1" applyBorder="1" applyAlignment="1" applyProtection="1">
      <protection hidden="1"/>
    </xf>
    <xf numFmtId="0" fontId="0" fillId="0" borderId="26" xfId="0" applyBorder="1" applyAlignment="1" applyProtection="1">
      <protection hidden="1"/>
    </xf>
    <xf numFmtId="0" fontId="1" fillId="7" borderId="2" xfId="0" applyFont="1" applyFill="1" applyBorder="1" applyAlignment="1" applyProtection="1">
      <alignment horizontal="right"/>
      <protection hidden="1"/>
    </xf>
    <xf numFmtId="0" fontId="0" fillId="7" borderId="0" xfId="0" applyFill="1" applyBorder="1" applyAlignment="1" applyProtection="1">
      <alignment horizontal="right"/>
      <protection hidden="1"/>
    </xf>
    <xf numFmtId="168" fontId="1" fillId="6" borderId="26" xfId="0" applyNumberFormat="1" applyFont="1" applyFill="1" applyBorder="1" applyAlignment="1" applyProtection="1">
      <alignment horizontal="center"/>
      <protection locked="0"/>
    </xf>
    <xf numFmtId="168" fontId="0" fillId="6" borderId="26" xfId="0" applyNumberFormat="1" applyFill="1" applyBorder="1" applyAlignment="1" applyProtection="1">
      <alignment horizontal="center"/>
      <protection locked="0"/>
    </xf>
    <xf numFmtId="0" fontId="0" fillId="6" borderId="26" xfId="0" applyFill="1" applyBorder="1" applyAlignment="1" applyProtection="1">
      <protection locked="0"/>
    </xf>
    <xf numFmtId="0" fontId="1" fillId="7" borderId="26" xfId="0" applyFont="1" applyFill="1" applyBorder="1" applyAlignment="1" applyProtection="1">
      <alignment horizontal="center"/>
      <protection hidden="1"/>
    </xf>
    <xf numFmtId="0" fontId="0" fillId="0" borderId="26" xfId="0" applyBorder="1" applyAlignment="1" applyProtection="1">
      <alignment horizontal="center"/>
      <protection hidden="1"/>
    </xf>
    <xf numFmtId="168" fontId="1" fillId="7" borderId="26" xfId="0" applyNumberFormat="1" applyFont="1" applyFill="1" applyBorder="1" applyAlignment="1" applyProtection="1">
      <alignment horizontal="center"/>
      <protection hidden="1"/>
    </xf>
    <xf numFmtId="168" fontId="0" fillId="7" borderId="26" xfId="0" applyNumberFormat="1" applyFill="1" applyBorder="1" applyAlignment="1">
      <alignment horizontal="center"/>
    </xf>
    <xf numFmtId="0" fontId="1" fillId="10" borderId="27" xfId="0" applyFont="1" applyFill="1" applyBorder="1" applyAlignment="1" applyProtection="1">
      <alignment horizontal="center"/>
      <protection hidden="1"/>
    </xf>
    <xf numFmtId="0" fontId="1" fillId="10" borderId="26" xfId="0" applyFont="1" applyFill="1" applyBorder="1" applyAlignment="1" applyProtection="1">
      <alignment horizontal="center"/>
      <protection hidden="1"/>
    </xf>
    <xf numFmtId="0" fontId="1" fillId="0" borderId="27" xfId="0" applyFont="1" applyFill="1" applyBorder="1" applyAlignment="1" applyProtection="1">
      <alignment horizontal="center"/>
      <protection hidden="1"/>
    </xf>
    <xf numFmtId="0" fontId="26" fillId="7" borderId="2" xfId="3" applyFill="1" applyBorder="1" applyAlignment="1" applyProtection="1">
      <alignment horizontal="left" vertical="center" indent="1"/>
      <protection locked="0"/>
    </xf>
    <xf numFmtId="0" fontId="26" fillId="7" borderId="0" xfId="3" applyFill="1" applyBorder="1" applyAlignment="1" applyProtection="1">
      <alignment horizontal="left" vertical="center" indent="1"/>
      <protection locked="0"/>
    </xf>
    <xf numFmtId="0" fontId="26" fillId="7" borderId="3" xfId="3" applyFill="1" applyBorder="1" applyAlignment="1" applyProtection="1">
      <alignment horizontal="left" vertical="center" indent="1"/>
      <protection locked="0"/>
    </xf>
    <xf numFmtId="164" fontId="1" fillId="6" borderId="26" xfId="0" applyNumberFormat="1" applyFont="1" applyFill="1" applyBorder="1" applyAlignment="1" applyProtection="1">
      <alignment horizontal="center"/>
      <protection locked="0"/>
    </xf>
    <xf numFmtId="0" fontId="0" fillId="7" borderId="4" xfId="0" applyFill="1" applyBorder="1" applyAlignment="1" applyProtection="1">
      <protection hidden="1"/>
    </xf>
    <xf numFmtId="0" fontId="0" fillId="0" borderId="5" xfId="0" applyBorder="1" applyAlignment="1" applyProtection="1">
      <protection hidden="1"/>
    </xf>
    <xf numFmtId="0" fontId="0" fillId="0" borderId="1" xfId="0" applyBorder="1" applyAlignment="1" applyProtection="1">
      <protection hidden="1"/>
    </xf>
    <xf numFmtId="0" fontId="1" fillId="7" borderId="28" xfId="0" applyFont="1" applyFill="1" applyBorder="1" applyAlignment="1" applyProtection="1">
      <alignment horizontal="center"/>
      <protection hidden="1"/>
    </xf>
    <xf numFmtId="0" fontId="0" fillId="7" borderId="28" xfId="0" applyFill="1" applyBorder="1" applyAlignment="1" applyProtection="1">
      <alignment horizontal="center"/>
      <protection hidden="1"/>
    </xf>
    <xf numFmtId="0" fontId="0" fillId="7" borderId="43" xfId="0" applyFill="1" applyBorder="1" applyAlignment="1" applyProtection="1">
      <alignment horizontal="center"/>
      <protection hidden="1"/>
    </xf>
    <xf numFmtId="0" fontId="0" fillId="7" borderId="3" xfId="0" applyFill="1" applyBorder="1" applyAlignment="1" applyProtection="1">
      <alignment horizontal="right"/>
      <protection hidden="1"/>
    </xf>
    <xf numFmtId="0" fontId="19" fillId="6" borderId="29" xfId="0" applyFont="1" applyFill="1" applyBorder="1" applyAlignment="1" applyProtection="1">
      <protection locked="0"/>
    </xf>
    <xf numFmtId="0" fontId="29" fillId="0" borderId="28" xfId="0" applyFont="1" applyBorder="1" applyAlignment="1" applyProtection="1">
      <protection locked="0"/>
    </xf>
    <xf numFmtId="0" fontId="0" fillId="0" borderId="27" xfId="0" applyBorder="1" applyAlignment="1" applyProtection="1">
      <protection locked="0"/>
    </xf>
    <xf numFmtId="0" fontId="2" fillId="0" borderId="2" xfId="0" applyFont="1" applyFill="1" applyBorder="1" applyAlignment="1" applyProtection="1">
      <alignment horizontal="left"/>
      <protection hidden="1"/>
    </xf>
    <xf numFmtId="0" fontId="0" fillId="0" borderId="0" xfId="0" applyFill="1" applyBorder="1" applyAlignment="1">
      <alignment horizontal="left"/>
    </xf>
    <xf numFmtId="0" fontId="0" fillId="0" borderId="3" xfId="0" applyFill="1" applyBorder="1" applyAlignment="1">
      <alignment horizontal="left"/>
    </xf>
    <xf numFmtId="44" fontId="2" fillId="0" borderId="29" xfId="0" applyNumberFormat="1" applyFont="1" applyFill="1" applyBorder="1" applyAlignment="1" applyProtection="1">
      <alignment horizontal="center"/>
      <protection locked="0"/>
    </xf>
    <xf numFmtId="44" fontId="2" fillId="0" borderId="28" xfId="0" applyNumberFormat="1" applyFont="1" applyFill="1" applyBorder="1" applyAlignment="1" applyProtection="1">
      <alignment horizontal="center"/>
      <protection locked="0"/>
    </xf>
    <xf numFmtId="44" fontId="0" fillId="0" borderId="27" xfId="0" applyNumberFormat="1" applyFill="1" applyBorder="1" applyAlignment="1" applyProtection="1">
      <protection locked="0"/>
    </xf>
    <xf numFmtId="0" fontId="2" fillId="7" borderId="4" xfId="0" applyFont="1" applyFill="1" applyBorder="1" applyAlignment="1" applyProtection="1">
      <protection hidden="1"/>
    </xf>
    <xf numFmtId="0" fontId="0" fillId="0" borderId="1" xfId="0" applyBorder="1" applyAlignment="1"/>
    <xf numFmtId="44" fontId="2" fillId="2" borderId="26" xfId="0" applyNumberFormat="1" applyFont="1" applyFill="1" applyBorder="1" applyAlignment="1" applyProtection="1">
      <protection hidden="1"/>
    </xf>
    <xf numFmtId="0" fontId="2" fillId="2" borderId="26" xfId="0" applyFont="1" applyFill="1" applyBorder="1" applyAlignment="1" applyProtection="1">
      <protection hidden="1"/>
    </xf>
    <xf numFmtId="0" fontId="2" fillId="2" borderId="31" xfId="0" applyFont="1" applyFill="1" applyBorder="1" applyAlignment="1" applyProtection="1">
      <protection hidden="1"/>
    </xf>
    <xf numFmtId="0" fontId="0" fillId="0" borderId="81" xfId="0" applyBorder="1" applyAlignment="1"/>
    <xf numFmtId="0" fontId="0" fillId="0" borderId="82" xfId="0" applyBorder="1" applyAlignment="1"/>
    <xf numFmtId="0" fontId="2" fillId="6" borderId="29" xfId="0" applyFont="1" applyFill="1" applyBorder="1" applyAlignment="1" applyProtection="1">
      <alignment horizontal="center"/>
      <protection hidden="1"/>
    </xf>
    <xf numFmtId="0" fontId="0" fillId="0" borderId="27" xfId="0" applyBorder="1" applyAlignment="1" applyProtection="1">
      <alignment horizontal="center"/>
      <protection hidden="1"/>
    </xf>
    <xf numFmtId="0" fontId="2" fillId="8" borderId="29" xfId="0" applyFont="1" applyFill="1" applyBorder="1" applyAlignment="1" applyProtection="1">
      <alignment horizontal="center"/>
      <protection hidden="1"/>
    </xf>
    <xf numFmtId="0" fontId="0" fillId="0" borderId="27" xfId="0" applyBorder="1" applyAlignment="1">
      <alignment horizontal="center"/>
    </xf>
    <xf numFmtId="0" fontId="2" fillId="6" borderId="29" xfId="0" applyFont="1" applyFill="1" applyBorder="1" applyAlignment="1" applyProtection="1">
      <protection locked="0"/>
    </xf>
    <xf numFmtId="0" fontId="2" fillId="6" borderId="28" xfId="0" applyFont="1" applyFill="1" applyBorder="1" applyAlignment="1" applyProtection="1">
      <protection locked="0"/>
    </xf>
    <xf numFmtId="0" fontId="2" fillId="6" borderId="27" xfId="0" applyFont="1" applyFill="1" applyBorder="1" applyAlignment="1" applyProtection="1">
      <protection locked="0"/>
    </xf>
    <xf numFmtId="0" fontId="1" fillId="8" borderId="29" xfId="0" applyFont="1" applyFill="1" applyBorder="1" applyAlignment="1" applyProtection="1">
      <alignment horizontal="left"/>
      <protection locked="0"/>
    </xf>
    <xf numFmtId="0" fontId="1" fillId="8" borderId="28" xfId="0" applyFont="1" applyFill="1" applyBorder="1" applyAlignment="1" applyProtection="1">
      <alignment horizontal="left"/>
      <protection locked="0"/>
    </xf>
    <xf numFmtId="0" fontId="1" fillId="8" borderId="27" xfId="0" applyFont="1" applyFill="1" applyBorder="1" applyAlignment="1" applyProtection="1">
      <alignment horizontal="left"/>
      <protection locked="0"/>
    </xf>
    <xf numFmtId="196" fontId="1" fillId="0" borderId="0" xfId="0" applyNumberFormat="1" applyFont="1" applyFill="1" applyBorder="1" applyAlignment="1" applyProtection="1">
      <protection locked="0" hidden="1"/>
    </xf>
    <xf numFmtId="0" fontId="1" fillId="7" borderId="0" xfId="0" applyFont="1" applyFill="1" applyAlignment="1" applyProtection="1">
      <protection hidden="1"/>
    </xf>
    <xf numFmtId="0" fontId="1" fillId="7" borderId="77" xfId="0" applyFont="1" applyFill="1" applyBorder="1" applyAlignment="1" applyProtection="1">
      <protection hidden="1"/>
    </xf>
    <xf numFmtId="0" fontId="2" fillId="2" borderId="0" xfId="0" applyFont="1" applyFill="1" applyAlignment="1" applyProtection="1">
      <protection hidden="1"/>
    </xf>
    <xf numFmtId="0" fontId="0" fillId="2" borderId="0" xfId="0" applyFill="1" applyAlignment="1" applyProtection="1">
      <protection hidden="1"/>
    </xf>
    <xf numFmtId="0" fontId="0" fillId="2" borderId="0" xfId="0" applyFill="1" applyAlignment="1">
      <alignment vertical="center" wrapText="1"/>
    </xf>
    <xf numFmtId="43" fontId="1" fillId="2" borderId="81" xfId="0" applyNumberFormat="1" applyFont="1" applyFill="1" applyBorder="1" applyAlignment="1" applyProtection="1">
      <protection hidden="1"/>
    </xf>
    <xf numFmtId="196" fontId="1" fillId="2" borderId="5" xfId="0" applyNumberFormat="1" applyFont="1" applyFill="1" applyBorder="1" applyAlignment="1" applyProtection="1">
      <alignment horizontal="right" indent="1"/>
      <protection hidden="1"/>
    </xf>
    <xf numFmtId="10" fontId="2" fillId="2" borderId="5" xfId="0" applyNumberFormat="1" applyFont="1" applyFill="1" applyBorder="1" applyAlignment="1" applyProtection="1">
      <protection hidden="1"/>
    </xf>
    <xf numFmtId="196" fontId="1" fillId="2" borderId="0" xfId="0" applyNumberFormat="1" applyFont="1" applyFill="1" applyBorder="1" applyAlignment="1" applyProtection="1">
      <protection hidden="1"/>
    </xf>
    <xf numFmtId="196" fontId="1" fillId="2" borderId="0" xfId="0" applyNumberFormat="1" applyFont="1" applyFill="1" applyAlignment="1" applyProtection="1">
      <protection hidden="1"/>
    </xf>
    <xf numFmtId="196" fontId="1" fillId="2" borderId="5" xfId="0" applyNumberFormat="1" applyFont="1" applyFill="1" applyBorder="1" applyAlignment="1" applyProtection="1">
      <protection hidden="1"/>
    </xf>
    <xf numFmtId="191" fontId="2" fillId="2" borderId="5" xfId="0" applyNumberFormat="1" applyFont="1" applyFill="1" applyBorder="1" applyAlignment="1" applyProtection="1">
      <alignment horizontal="center"/>
      <protection hidden="1"/>
    </xf>
    <xf numFmtId="191" fontId="0" fillId="2" borderId="5" xfId="0" applyNumberFormat="1" applyFill="1" applyBorder="1" applyAlignment="1">
      <alignment horizontal="center"/>
    </xf>
    <xf numFmtId="0" fontId="1" fillId="7" borderId="31" xfId="0" applyFont="1" applyFill="1" applyBorder="1" applyAlignment="1" applyProtection="1">
      <protection hidden="1"/>
    </xf>
    <xf numFmtId="0" fontId="8"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44" fontId="8" fillId="2" borderId="5" xfId="0" applyNumberFormat="1" applyFont="1" applyFill="1" applyBorder="1" applyAlignment="1" applyProtection="1">
      <protection hidden="1"/>
    </xf>
    <xf numFmtId="43" fontId="1" fillId="2" borderId="0" xfId="0" applyNumberFormat="1" applyFont="1" applyFill="1" applyBorder="1" applyAlignment="1" applyProtection="1">
      <protection hidden="1"/>
    </xf>
    <xf numFmtId="0" fontId="1" fillId="2" borderId="0" xfId="0" applyFont="1" applyFill="1" applyBorder="1" applyAlignment="1" applyProtection="1">
      <alignment horizontal="center"/>
      <protection hidden="1"/>
    </xf>
    <xf numFmtId="0" fontId="0" fillId="2" borderId="0" xfId="0" applyFill="1" applyBorder="1" applyAlignment="1">
      <alignment horizontal="center"/>
    </xf>
    <xf numFmtId="0" fontId="8" fillId="2" borderId="0" xfId="0" applyFont="1" applyFill="1" applyAlignment="1" applyProtection="1">
      <protection hidden="1"/>
    </xf>
    <xf numFmtId="43" fontId="1" fillId="2" borderId="0" xfId="2" applyNumberFormat="1" applyFont="1" applyFill="1" applyBorder="1" applyAlignment="1" applyProtection="1">
      <alignment vertical="center" wrapText="1"/>
      <protection hidden="1"/>
    </xf>
    <xf numFmtId="196" fontId="2" fillId="2" borderId="37" xfId="0" applyNumberFormat="1" applyFont="1" applyFill="1" applyBorder="1" applyAlignment="1" applyProtection="1">
      <protection hidden="1"/>
    </xf>
    <xf numFmtId="196" fontId="2" fillId="2" borderId="30" xfId="0" applyNumberFormat="1" applyFont="1" applyFill="1" applyBorder="1" applyAlignment="1" applyProtection="1">
      <protection hidden="1"/>
    </xf>
    <xf numFmtId="0" fontId="1" fillId="2" borderId="0" xfId="0" applyFont="1" applyFill="1" applyAlignment="1" applyProtection="1">
      <alignment horizontal="left"/>
      <protection hidden="1"/>
    </xf>
    <xf numFmtId="0" fontId="0" fillId="2" borderId="0" xfId="0" applyFill="1" applyAlignment="1">
      <alignment horizontal="left"/>
    </xf>
    <xf numFmtId="0" fontId="0" fillId="2" borderId="0" xfId="0" applyFill="1" applyBorder="1" applyAlignment="1">
      <alignment horizontal="left"/>
    </xf>
    <xf numFmtId="196" fontId="1" fillId="2" borderId="28" xfId="0" applyNumberFormat="1" applyFont="1" applyFill="1" applyBorder="1" applyAlignment="1" applyProtection="1">
      <protection hidden="1"/>
    </xf>
    <xf numFmtId="196" fontId="0" fillId="2" borderId="28" xfId="0" applyNumberFormat="1" applyFill="1" applyBorder="1" applyAlignment="1"/>
    <xf numFmtId="9" fontId="81" fillId="6" borderId="0" xfId="6" applyFont="1" applyFill="1" applyBorder="1" applyAlignment="1" applyProtection="1">
      <alignment horizontal="center" vertical="center"/>
      <protection locked="0"/>
    </xf>
    <xf numFmtId="0" fontId="1" fillId="7" borderId="0" xfId="0" applyFont="1" applyFill="1" applyBorder="1" applyAlignment="1" applyProtection="1">
      <alignment horizontal="center"/>
      <protection locked="0"/>
    </xf>
    <xf numFmtId="0" fontId="1" fillId="7" borderId="84" xfId="0" applyFont="1" applyFill="1" applyBorder="1" applyAlignment="1" applyProtection="1">
      <alignment horizontal="center"/>
      <protection locked="0"/>
    </xf>
    <xf numFmtId="196" fontId="1" fillId="2" borderId="5" xfId="0" applyNumberFormat="1" applyFont="1" applyFill="1" applyBorder="1" applyAlignment="1" applyProtection="1">
      <alignment horizontal="center"/>
      <protection hidden="1"/>
    </xf>
    <xf numFmtId="0" fontId="1" fillId="2" borderId="0" xfId="0" applyFont="1" applyFill="1" applyBorder="1" applyAlignment="1" applyProtection="1">
      <protection hidden="1"/>
    </xf>
    <xf numFmtId="170" fontId="2" fillId="2" borderId="28" xfId="0" applyNumberFormat="1" applyFont="1" applyFill="1" applyBorder="1" applyAlignment="1" applyProtection="1">
      <alignment horizontal="right"/>
      <protection hidden="1"/>
    </xf>
    <xf numFmtId="170" fontId="0" fillId="2" borderId="28" xfId="0" applyNumberFormat="1" applyFill="1" applyBorder="1" applyAlignment="1"/>
    <xf numFmtId="0" fontId="1" fillId="2" borderId="5" xfId="0" applyFont="1" applyFill="1" applyBorder="1" applyAlignment="1" applyProtection="1">
      <alignment horizontal="right"/>
      <protection hidden="1"/>
    </xf>
    <xf numFmtId="0" fontId="10" fillId="2" borderId="0" xfId="0" applyFont="1" applyFill="1" applyAlignment="1" applyProtection="1">
      <alignment horizontal="center" vertical="center"/>
      <protection hidden="1"/>
    </xf>
    <xf numFmtId="0" fontId="1" fillId="2" borderId="0" xfId="0" applyFont="1" applyFill="1" applyAlignment="1" applyProtection="1">
      <alignment vertical="center"/>
      <protection hidden="1"/>
    </xf>
    <xf numFmtId="0" fontId="17" fillId="2" borderId="29" xfId="0" applyFont="1" applyFill="1" applyBorder="1" applyAlignment="1" applyProtection="1">
      <alignment horizontal="center"/>
      <protection hidden="1"/>
    </xf>
    <xf numFmtId="0" fontId="17" fillId="2" borderId="28" xfId="0" applyFont="1" applyFill="1" applyBorder="1" applyAlignment="1" applyProtection="1">
      <alignment horizontal="center"/>
      <protection hidden="1"/>
    </xf>
    <xf numFmtId="0" fontId="17" fillId="2" borderId="27" xfId="0" applyFont="1" applyFill="1" applyBorder="1" applyAlignment="1" applyProtection="1">
      <alignment horizontal="center"/>
      <protection hidden="1"/>
    </xf>
    <xf numFmtId="196" fontId="1" fillId="0" borderId="85" xfId="0" applyNumberFormat="1" applyFont="1" applyFill="1" applyBorder="1" applyAlignment="1" applyProtection="1">
      <protection locked="0" hidden="1"/>
    </xf>
    <xf numFmtId="196" fontId="1" fillId="0" borderId="84" xfId="0" applyNumberFormat="1" applyFont="1" applyFill="1" applyBorder="1" applyAlignment="1" applyProtection="1">
      <protection locked="0" hidden="1"/>
    </xf>
    <xf numFmtId="43" fontId="7" fillId="7" borderId="81" xfId="2" applyNumberFormat="1" applyFont="1" applyFill="1" applyBorder="1" applyAlignment="1" applyProtection="1">
      <alignment vertical="center" wrapText="1"/>
      <protection hidden="1"/>
    </xf>
    <xf numFmtId="0" fontId="0" fillId="7" borderId="0" xfId="0" applyFill="1" applyAlignment="1">
      <alignment vertical="center" wrapText="1"/>
    </xf>
    <xf numFmtId="0" fontId="8" fillId="2" borderId="0" xfId="0" applyFont="1" applyFill="1" applyAlignment="1" applyProtection="1">
      <alignment horizontal="center"/>
      <protection hidden="1"/>
    </xf>
    <xf numFmtId="0" fontId="0" fillId="7" borderId="0" xfId="0" applyFill="1" applyBorder="1" applyAlignment="1"/>
    <xf numFmtId="196" fontId="1" fillId="0" borderId="0" xfId="0" applyNumberFormat="1" applyFont="1" applyFill="1" applyBorder="1" applyAlignment="1" applyProtection="1">
      <alignment wrapText="1"/>
      <protection locked="0"/>
    </xf>
    <xf numFmtId="196" fontId="0" fillId="0" borderId="0" xfId="0" applyNumberFormat="1" applyFill="1" applyBorder="1" applyAlignment="1" applyProtection="1">
      <alignment wrapText="1"/>
      <protection locked="0"/>
    </xf>
    <xf numFmtId="0" fontId="0" fillId="2" borderId="0" xfId="0" applyFill="1" applyAlignment="1" applyProtection="1">
      <alignment horizontal="right"/>
      <protection hidden="1"/>
    </xf>
    <xf numFmtId="44" fontId="1" fillId="0" borderId="85" xfId="2" applyFont="1" applyFill="1" applyBorder="1" applyAlignment="1" applyProtection="1">
      <protection locked="0" hidden="1"/>
    </xf>
    <xf numFmtId="44" fontId="0" fillId="0" borderId="85" xfId="2" applyFont="1" applyFill="1" applyBorder="1" applyAlignment="1" applyProtection="1">
      <protection locked="0" hidden="1"/>
    </xf>
    <xf numFmtId="0" fontId="0" fillId="2" borderId="0" xfId="0" applyFill="1" applyBorder="1" applyAlignment="1" applyProtection="1">
      <protection hidden="1"/>
    </xf>
    <xf numFmtId="196" fontId="2" fillId="2" borderId="30" xfId="2" applyNumberFormat="1" applyFont="1" applyFill="1" applyBorder="1" applyAlignment="1" applyProtection="1">
      <protection hidden="1"/>
    </xf>
    <xf numFmtId="196" fontId="2" fillId="2" borderId="5" xfId="2" applyNumberFormat="1" applyFont="1" applyFill="1" applyBorder="1" applyAlignment="1" applyProtection="1">
      <alignment horizontal="center"/>
      <protection hidden="1"/>
    </xf>
    <xf numFmtId="196" fontId="0" fillId="0" borderId="5" xfId="0" applyNumberFormat="1" applyBorder="1" applyAlignment="1"/>
    <xf numFmtId="0" fontId="1" fillId="2" borderId="4" xfId="0" applyFont="1" applyFill="1" applyBorder="1" applyAlignment="1" applyProtection="1">
      <alignment horizontal="center"/>
      <protection hidden="1"/>
    </xf>
    <xf numFmtId="0" fontId="1" fillId="2" borderId="1" xfId="0" applyFont="1" applyFill="1" applyBorder="1" applyAlignment="1" applyProtection="1">
      <alignment horizontal="center"/>
      <protection hidden="1"/>
    </xf>
    <xf numFmtId="4" fontId="6" fillId="0" borderId="22" xfId="0" applyNumberFormat="1" applyFont="1" applyFill="1" applyBorder="1" applyAlignment="1" applyProtection="1">
      <alignment horizontal="center" vertical="center"/>
      <protection locked="0" hidden="1"/>
    </xf>
    <xf numFmtId="0" fontId="14" fillId="2" borderId="0" xfId="0" applyFont="1" applyFill="1" applyAlignment="1" applyProtection="1">
      <alignment horizontal="left"/>
      <protection hidden="1"/>
    </xf>
    <xf numFmtId="196" fontId="1" fillId="2" borderId="81" xfId="2" applyNumberFormat="1" applyFont="1" applyFill="1" applyBorder="1" applyAlignment="1" applyProtection="1">
      <alignment horizontal="center" wrapText="1"/>
      <protection hidden="1"/>
    </xf>
    <xf numFmtId="196" fontId="0" fillId="2" borderId="81" xfId="0" applyNumberFormat="1" applyFill="1" applyBorder="1" applyAlignment="1" applyProtection="1">
      <protection hidden="1"/>
    </xf>
    <xf numFmtId="196" fontId="0" fillId="2" borderId="0" xfId="0" applyNumberFormat="1" applyFill="1" applyAlignment="1" applyProtection="1">
      <protection hidden="1"/>
    </xf>
    <xf numFmtId="196" fontId="0" fillId="2" borderId="5" xfId="0" applyNumberFormat="1" applyFill="1" applyBorder="1" applyAlignment="1" applyProtection="1">
      <protection hidden="1"/>
    </xf>
    <xf numFmtId="196" fontId="2" fillId="2" borderId="5" xfId="0" applyNumberFormat="1" applyFont="1" applyFill="1" applyBorder="1" applyAlignment="1" applyProtection="1">
      <protection hidden="1"/>
    </xf>
    <xf numFmtId="0" fontId="19" fillId="2" borderId="81" xfId="0" applyFont="1" applyFill="1" applyBorder="1" applyAlignment="1" applyProtection="1">
      <alignment horizontal="center" vertical="center"/>
      <protection hidden="1"/>
    </xf>
    <xf numFmtId="0" fontId="2" fillId="2" borderId="28" xfId="0" applyFont="1" applyFill="1" applyBorder="1" applyAlignment="1" applyProtection="1">
      <alignment horizontal="right"/>
      <protection hidden="1"/>
    </xf>
    <xf numFmtId="0" fontId="1" fillId="2" borderId="29" xfId="0" applyNumberFormat="1" applyFont="1" applyFill="1" applyBorder="1" applyAlignment="1" applyProtection="1">
      <alignment horizontal="center"/>
      <protection hidden="1"/>
    </xf>
    <xf numFmtId="0" fontId="1" fillId="2" borderId="27" xfId="0" applyNumberFormat="1" applyFont="1" applyFill="1" applyBorder="1" applyAlignment="1" applyProtection="1">
      <alignment horizontal="center"/>
      <protection hidden="1"/>
    </xf>
    <xf numFmtId="0" fontId="2" fillId="2" borderId="29" xfId="0" applyFont="1" applyFill="1" applyBorder="1" applyAlignment="1" applyProtection="1">
      <alignment horizontal="left" vertical="center"/>
      <protection hidden="1"/>
    </xf>
    <xf numFmtId="0" fontId="2" fillId="2" borderId="28" xfId="0" applyFont="1" applyFill="1" applyBorder="1" applyAlignment="1" applyProtection="1">
      <alignment horizontal="left" vertical="center"/>
      <protection hidden="1"/>
    </xf>
    <xf numFmtId="0" fontId="2" fillId="2" borderId="28" xfId="0" applyFont="1" applyFill="1" applyBorder="1" applyAlignment="1">
      <alignment horizontal="left"/>
    </xf>
    <xf numFmtId="1" fontId="1" fillId="2" borderId="29" xfId="0" applyNumberFormat="1" applyFont="1" applyFill="1" applyBorder="1" applyAlignment="1" applyProtection="1">
      <alignment horizontal="center"/>
      <protection hidden="1"/>
    </xf>
    <xf numFmtId="1" fontId="1" fillId="2" borderId="27" xfId="0" applyNumberFormat="1" applyFont="1" applyFill="1" applyBorder="1" applyAlignment="1" applyProtection="1">
      <alignment horizontal="center"/>
      <protection hidden="1"/>
    </xf>
    <xf numFmtId="4" fontId="6" fillId="0" borderId="88" xfId="0" applyNumberFormat="1" applyFont="1" applyFill="1" applyBorder="1" applyAlignment="1" applyProtection="1">
      <alignment horizontal="center" vertical="center"/>
      <protection locked="0" hidden="1"/>
    </xf>
    <xf numFmtId="43" fontId="6" fillId="2" borderId="0" xfId="0" applyNumberFormat="1" applyFont="1" applyFill="1" applyBorder="1" applyAlignment="1" applyProtection="1">
      <alignment horizontal="center"/>
      <protection hidden="1"/>
    </xf>
    <xf numFmtId="0" fontId="6" fillId="2" borderId="0" xfId="0" applyFont="1" applyFill="1" applyBorder="1" applyAlignment="1" applyProtection="1">
      <alignment horizontal="center"/>
      <protection hidden="1"/>
    </xf>
    <xf numFmtId="0" fontId="6" fillId="2" borderId="26" xfId="0" applyFont="1" applyFill="1" applyBorder="1" applyAlignment="1" applyProtection="1">
      <alignment horizontal="right" vertical="center"/>
      <protection hidden="1"/>
    </xf>
    <xf numFmtId="0" fontId="1" fillId="2" borderId="0" xfId="0" applyNumberFormat="1" applyFont="1" applyFill="1" applyAlignment="1" applyProtection="1">
      <alignment horizontal="right"/>
      <protection hidden="1"/>
    </xf>
    <xf numFmtId="0" fontId="0" fillId="2" borderId="0" xfId="0" applyNumberFormat="1" applyFill="1" applyAlignment="1" applyProtection="1">
      <alignment horizontal="right"/>
      <protection hidden="1"/>
    </xf>
    <xf numFmtId="0" fontId="0" fillId="7" borderId="0" xfId="0" applyFill="1" applyAlignment="1">
      <alignment wrapText="1"/>
    </xf>
    <xf numFmtId="0" fontId="2" fillId="7" borderId="0" xfId="0" applyFont="1" applyFill="1" applyAlignment="1">
      <alignment vertical="top" wrapText="1"/>
    </xf>
    <xf numFmtId="0" fontId="2" fillId="0" borderId="0" xfId="0" applyFont="1" applyAlignment="1">
      <alignment wrapText="1"/>
    </xf>
    <xf numFmtId="0" fontId="3" fillId="0" borderId="5" xfId="0" applyNumberFormat="1" applyFont="1" applyFill="1" applyBorder="1" applyAlignment="1" applyProtection="1">
      <alignment horizontal="left"/>
      <protection hidden="1"/>
    </xf>
    <xf numFmtId="0" fontId="5" fillId="2" borderId="0" xfId="0" applyFont="1" applyFill="1" applyBorder="1" applyAlignment="1" applyProtection="1">
      <alignment horizontal="right"/>
      <protection hidden="1"/>
    </xf>
    <xf numFmtId="0" fontId="0" fillId="0" borderId="0" xfId="0" applyAlignment="1" applyProtection="1">
      <alignment horizontal="right"/>
      <protection hidden="1"/>
    </xf>
    <xf numFmtId="0" fontId="1" fillId="2" borderId="81" xfId="0" applyFont="1" applyFill="1" applyBorder="1" applyAlignment="1" applyProtection="1">
      <alignment horizontal="right" vertical="top"/>
      <protection hidden="1"/>
    </xf>
    <xf numFmtId="2" fontId="7" fillId="2" borderId="31" xfId="0" applyNumberFormat="1" applyFont="1" applyFill="1" applyBorder="1" applyAlignment="1" applyProtection="1">
      <alignment horizontal="center" vertical="center"/>
      <protection hidden="1"/>
    </xf>
    <xf numFmtId="0" fontId="1" fillId="2" borderId="82" xfId="0" applyFont="1" applyFill="1" applyBorder="1" applyAlignment="1" applyProtection="1">
      <alignment horizontal="center" vertical="center"/>
      <protection hidden="1"/>
    </xf>
    <xf numFmtId="0" fontId="15" fillId="2" borderId="0" xfId="0" applyFont="1" applyFill="1" applyAlignment="1">
      <alignment horizontal="center"/>
    </xf>
    <xf numFmtId="179" fontId="16" fillId="2" borderId="29" xfId="0" applyNumberFormat="1" applyFont="1" applyFill="1" applyBorder="1" applyAlignment="1" applyProtection="1">
      <alignment horizontal="center"/>
      <protection hidden="1"/>
    </xf>
    <xf numFmtId="179" fontId="16" fillId="2" borderId="27" xfId="0" applyNumberFormat="1" applyFont="1" applyFill="1" applyBorder="1" applyAlignment="1" applyProtection="1">
      <alignment horizontal="center"/>
      <protection hidden="1"/>
    </xf>
    <xf numFmtId="4" fontId="6" fillId="0" borderId="89" xfId="0" applyNumberFormat="1" applyFont="1" applyFill="1" applyBorder="1" applyAlignment="1" applyProtection="1">
      <alignment horizontal="center" vertical="center"/>
      <protection locked="0" hidden="1"/>
    </xf>
    <xf numFmtId="4" fontId="6" fillId="0" borderId="85" xfId="0" applyNumberFormat="1" applyFont="1" applyFill="1" applyBorder="1" applyAlignment="1" applyProtection="1">
      <alignment horizontal="center" vertical="center"/>
      <protection locked="0" hidden="1"/>
    </xf>
    <xf numFmtId="4" fontId="6" fillId="0" borderId="90" xfId="0" applyNumberFormat="1" applyFont="1" applyFill="1" applyBorder="1" applyAlignment="1" applyProtection="1">
      <alignment horizontal="center" vertical="center"/>
      <protection locked="0" hidden="1"/>
    </xf>
    <xf numFmtId="0" fontId="2" fillId="2" borderId="0" xfId="0" applyNumberFormat="1" applyFont="1" applyFill="1" applyAlignment="1">
      <alignment horizontal="right"/>
    </xf>
    <xf numFmtId="0" fontId="1" fillId="2" borderId="31" xfId="0" applyFont="1" applyFill="1" applyBorder="1" applyAlignment="1" applyProtection="1">
      <alignment horizontal="right" vertical="center"/>
      <protection hidden="1"/>
    </xf>
    <xf numFmtId="0" fontId="1" fillId="2" borderId="82" xfId="0" applyFont="1" applyFill="1" applyBorder="1" applyAlignment="1" applyProtection="1">
      <alignment horizontal="right" vertical="center"/>
      <protection hidden="1"/>
    </xf>
    <xf numFmtId="0" fontId="1" fillId="2" borderId="4" xfId="0" applyFont="1" applyFill="1" applyBorder="1" applyAlignment="1" applyProtection="1">
      <alignment horizontal="right" vertical="center"/>
      <protection hidden="1"/>
    </xf>
    <xf numFmtId="0" fontId="1" fillId="2" borderId="1" xfId="0" applyFont="1" applyFill="1" applyBorder="1" applyAlignment="1" applyProtection="1">
      <alignment horizontal="right" vertical="center"/>
      <protection hidden="1"/>
    </xf>
    <xf numFmtId="0" fontId="14" fillId="2" borderId="5" xfId="0" quotePrefix="1" applyFont="1" applyFill="1" applyBorder="1" applyAlignment="1" applyProtection="1">
      <alignment horizontal="center"/>
      <protection hidden="1"/>
    </xf>
    <xf numFmtId="0" fontId="14" fillId="2" borderId="5" xfId="0" applyFont="1" applyFill="1" applyBorder="1" applyAlignment="1" applyProtection="1">
      <alignment horizontal="center"/>
      <protection hidden="1"/>
    </xf>
    <xf numFmtId="0" fontId="6" fillId="2" borderId="29" xfId="0" applyFont="1" applyFill="1" applyBorder="1" applyAlignment="1" applyProtection="1">
      <alignment horizontal="right"/>
      <protection hidden="1"/>
    </xf>
    <xf numFmtId="0" fontId="1" fillId="2" borderId="27" xfId="0" applyFont="1" applyFill="1" applyBorder="1" applyAlignment="1" applyProtection="1">
      <alignment horizontal="right"/>
      <protection hidden="1"/>
    </xf>
    <xf numFmtId="0" fontId="5" fillId="0" borderId="0" xfId="0" applyFont="1" applyFill="1" applyBorder="1" applyAlignment="1" applyProtection="1">
      <alignment horizontal="left" wrapText="1"/>
      <protection hidden="1"/>
    </xf>
    <xf numFmtId="0" fontId="0" fillId="0" borderId="0" xfId="0" applyFill="1" applyAlignment="1" applyProtection="1">
      <alignment horizontal="left" wrapText="1"/>
      <protection hidden="1"/>
    </xf>
    <xf numFmtId="0" fontId="0" fillId="0" borderId="5" xfId="0" applyFill="1" applyBorder="1" applyAlignment="1" applyProtection="1">
      <alignment horizontal="left" wrapText="1"/>
      <protection hidden="1"/>
    </xf>
    <xf numFmtId="14" fontId="1" fillId="2" borderId="0" xfId="0" applyNumberFormat="1" applyFont="1" applyFill="1" applyAlignment="1" applyProtection="1">
      <alignment horizontal="right"/>
      <protection hidden="1"/>
    </xf>
    <xf numFmtId="0" fontId="2" fillId="2" borderId="0"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25" fillId="2" borderId="0" xfId="0" applyFont="1" applyFill="1" applyAlignment="1" applyProtection="1">
      <protection hidden="1"/>
    </xf>
    <xf numFmtId="0" fontId="45" fillId="2" borderId="0" xfId="0" applyFont="1" applyFill="1" applyBorder="1" applyAlignment="1" applyProtection="1">
      <alignment horizontal="center" vertical="center" wrapText="1"/>
      <protection hidden="1"/>
    </xf>
    <xf numFmtId="0" fontId="46" fillId="0" borderId="0" xfId="0" applyFont="1" applyAlignment="1">
      <alignment vertical="center" wrapText="1"/>
    </xf>
    <xf numFmtId="0" fontId="0" fillId="7" borderId="26" xfId="0" applyFill="1" applyBorder="1" applyAlignment="1"/>
    <xf numFmtId="0" fontId="0" fillId="7" borderId="29" xfId="0" applyFill="1" applyBorder="1" applyAlignment="1"/>
    <xf numFmtId="0" fontId="1" fillId="0" borderId="81" xfId="0" applyFont="1" applyFill="1" applyBorder="1" applyAlignment="1" applyProtection="1">
      <alignment horizontal="center"/>
      <protection hidden="1"/>
    </xf>
    <xf numFmtId="0" fontId="0" fillId="0" borderId="81" xfId="0" applyFill="1" applyBorder="1" applyAlignment="1" applyProtection="1">
      <alignment horizontal="center"/>
      <protection hidden="1"/>
    </xf>
    <xf numFmtId="0" fontId="0" fillId="0" borderId="82" xfId="0" applyFill="1" applyBorder="1" applyAlignment="1" applyProtection="1">
      <alignment horizontal="center"/>
      <protection hidden="1"/>
    </xf>
    <xf numFmtId="0" fontId="0" fillId="0" borderId="0" xfId="0" applyBorder="1" applyAlignment="1" applyProtection="1">
      <alignment horizontal="center"/>
      <protection hidden="1"/>
    </xf>
    <xf numFmtId="0" fontId="0" fillId="0" borderId="3" xfId="0" applyBorder="1" applyAlignment="1" applyProtection="1">
      <alignment horizontal="center"/>
      <protection hidden="1"/>
    </xf>
    <xf numFmtId="0" fontId="0" fillId="0" borderId="5" xfId="0" applyBorder="1" applyAlignment="1" applyProtection="1">
      <alignment horizontal="center"/>
      <protection hidden="1"/>
    </xf>
    <xf numFmtId="0" fontId="0" fillId="0" borderId="1" xfId="0" applyBorder="1" applyAlignment="1" applyProtection="1">
      <alignment horizontal="center"/>
      <protection hidden="1"/>
    </xf>
    <xf numFmtId="1" fontId="1" fillId="9" borderId="29" xfId="0" applyNumberFormat="1" applyFont="1" applyFill="1" applyBorder="1" applyAlignment="1" applyProtection="1">
      <alignment horizontal="center"/>
      <protection locked="0"/>
    </xf>
    <xf numFmtId="1" fontId="1" fillId="9" borderId="28" xfId="0" applyNumberFormat="1" applyFont="1" applyFill="1" applyBorder="1" applyAlignment="1" applyProtection="1">
      <alignment horizontal="center"/>
      <protection locked="0"/>
    </xf>
    <xf numFmtId="0" fontId="0" fillId="9" borderId="27" xfId="0" applyFill="1" applyBorder="1" applyAlignment="1" applyProtection="1">
      <protection locked="0"/>
    </xf>
    <xf numFmtId="164" fontId="1" fillId="7" borderId="26" xfId="0" applyNumberFormat="1" applyFont="1" applyFill="1" applyBorder="1" applyAlignment="1" applyProtection="1">
      <alignment horizontal="center"/>
      <protection hidden="1"/>
    </xf>
    <xf numFmtId="164" fontId="0" fillId="7" borderId="26" xfId="0" applyNumberFormat="1" applyFill="1" applyBorder="1" applyAlignment="1">
      <alignment horizontal="center"/>
    </xf>
    <xf numFmtId="168" fontId="2" fillId="6" borderId="29" xfId="0" applyNumberFormat="1" applyFont="1" applyFill="1" applyBorder="1" applyAlignment="1" applyProtection="1">
      <alignment horizontal="center"/>
      <protection locked="0"/>
    </xf>
    <xf numFmtId="168" fontId="2" fillId="6" borderId="28" xfId="0" applyNumberFormat="1" applyFont="1" applyFill="1" applyBorder="1" applyAlignment="1" applyProtection="1">
      <alignment horizontal="center"/>
      <protection locked="0"/>
    </xf>
    <xf numFmtId="168" fontId="2" fillId="6" borderId="27" xfId="0" applyNumberFormat="1" applyFont="1" applyFill="1" applyBorder="1" applyAlignment="1" applyProtection="1">
      <alignment horizontal="center"/>
      <protection locked="0"/>
    </xf>
    <xf numFmtId="180" fontId="0" fillId="7" borderId="2" xfId="0" applyNumberFormat="1" applyFill="1" applyBorder="1" applyAlignment="1" applyProtection="1">
      <alignment horizontal="center"/>
      <protection hidden="1"/>
    </xf>
    <xf numFmtId="0" fontId="0" fillId="0" borderId="3" xfId="0" applyBorder="1" applyAlignment="1">
      <alignment horizontal="center"/>
    </xf>
    <xf numFmtId="0" fontId="1" fillId="0" borderId="2" xfId="0" applyFont="1" applyBorder="1" applyAlignment="1" applyProtection="1">
      <protection hidden="1"/>
    </xf>
    <xf numFmtId="0" fontId="19" fillId="6" borderId="29" xfId="0" applyFont="1" applyFill="1" applyBorder="1" applyAlignment="1" applyProtection="1">
      <alignment horizontal="center" vertical="center"/>
      <protection locked="0"/>
    </xf>
    <xf numFmtId="0" fontId="19" fillId="6" borderId="28"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26" fillId="7" borderId="5" xfId="3" applyFill="1" applyBorder="1" applyAlignment="1" applyProtection="1">
      <alignment horizontal="left" vertical="center" indent="1"/>
      <protection locked="0"/>
    </xf>
    <xf numFmtId="0" fontId="26" fillId="7" borderId="1" xfId="3" applyFill="1" applyBorder="1" applyAlignment="1" applyProtection="1">
      <alignment horizontal="left" vertical="center" indent="1"/>
      <protection locked="0"/>
    </xf>
    <xf numFmtId="0" fontId="26" fillId="12" borderId="75" xfId="3" applyFill="1" applyBorder="1" applyAlignment="1" applyProtection="1">
      <alignment vertical="center"/>
      <protection locked="0"/>
    </xf>
    <xf numFmtId="0" fontId="26" fillId="12" borderId="73" xfId="3" applyFill="1" applyBorder="1" applyAlignment="1" applyProtection="1">
      <alignment vertical="center"/>
      <protection locked="0"/>
    </xf>
    <xf numFmtId="0" fontId="1" fillId="12" borderId="74" xfId="0" applyFont="1" applyFill="1" applyBorder="1" applyAlignment="1">
      <alignment horizontal="center" vertical="center"/>
    </xf>
    <xf numFmtId="0" fontId="1" fillId="12" borderId="23" xfId="0" applyFont="1" applyFill="1" applyBorder="1" applyAlignment="1">
      <alignment horizontal="center" vertical="center"/>
    </xf>
    <xf numFmtId="0" fontId="72" fillId="12" borderId="21" xfId="0" applyFont="1" applyFill="1" applyBorder="1" applyAlignment="1" applyProtection="1">
      <alignment horizontal="right" vertical="center"/>
      <protection hidden="1"/>
    </xf>
    <xf numFmtId="194" fontId="19" fillId="6" borderId="29" xfId="0" applyNumberFormat="1" applyFont="1" applyFill="1" applyBorder="1" applyAlignment="1" applyProtection="1">
      <alignment horizontal="center" vertical="center"/>
      <protection locked="0"/>
    </xf>
    <xf numFmtId="194" fontId="19" fillId="6" borderId="28" xfId="0" applyNumberFormat="1" applyFont="1" applyFill="1" applyBorder="1" applyAlignment="1" applyProtection="1">
      <alignment horizontal="center" vertical="center"/>
      <protection locked="0"/>
    </xf>
    <xf numFmtId="194" fontId="19" fillId="6" borderId="27" xfId="0" applyNumberFormat="1" applyFont="1" applyFill="1" applyBorder="1" applyAlignment="1" applyProtection="1">
      <alignment horizontal="center" vertical="center"/>
      <protection locked="0"/>
    </xf>
    <xf numFmtId="194" fontId="0" fillId="7" borderId="29" xfId="0" applyNumberFormat="1" applyFill="1" applyBorder="1" applyAlignment="1" applyProtection="1">
      <alignment horizontal="center"/>
      <protection hidden="1"/>
    </xf>
    <xf numFmtId="194" fontId="0" fillId="7" borderId="28" xfId="0" applyNumberFormat="1" applyFill="1" applyBorder="1" applyAlignment="1" applyProtection="1">
      <alignment horizontal="center"/>
      <protection hidden="1"/>
    </xf>
    <xf numFmtId="194" fontId="0" fillId="7" borderId="27" xfId="0" applyNumberFormat="1" applyFill="1" applyBorder="1" applyAlignment="1" applyProtection="1">
      <alignment horizontal="center"/>
      <protection hidden="1"/>
    </xf>
    <xf numFmtId="0" fontId="1" fillId="2" borderId="81" xfId="0" applyFont="1" applyFill="1" applyBorder="1" applyAlignment="1" applyProtection="1">
      <alignment horizontal="right"/>
      <protection hidden="1"/>
    </xf>
    <xf numFmtId="0" fontId="1" fillId="0" borderId="29"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2" fillId="9" borderId="29" xfId="0" applyFont="1" applyFill="1" applyBorder="1" applyAlignment="1" applyProtection="1">
      <alignment horizontal="center"/>
      <protection hidden="1"/>
    </xf>
    <xf numFmtId="0" fontId="0" fillId="9" borderId="27" xfId="0" applyFill="1" applyBorder="1" applyAlignment="1">
      <alignment horizontal="center"/>
    </xf>
    <xf numFmtId="0" fontId="1" fillId="7" borderId="14" xfId="0" applyFont="1" applyFill="1" applyBorder="1" applyAlignment="1" applyProtection="1">
      <protection hidden="1"/>
    </xf>
    <xf numFmtId="0" fontId="0" fillId="0" borderId="14" xfId="0" applyBorder="1" applyAlignment="1" applyProtection="1">
      <protection hidden="1"/>
    </xf>
    <xf numFmtId="0" fontId="0" fillId="6" borderId="28" xfId="0" applyFill="1" applyBorder="1" applyAlignment="1" applyProtection="1">
      <alignment horizontal="center"/>
      <protection hidden="1"/>
    </xf>
    <xf numFmtId="0" fontId="0" fillId="6" borderId="27" xfId="0" applyFill="1" applyBorder="1" applyAlignment="1" applyProtection="1">
      <alignment horizontal="center"/>
      <protection hidden="1"/>
    </xf>
    <xf numFmtId="0" fontId="2" fillId="7" borderId="31" xfId="0" applyFont="1" applyFill="1" applyBorder="1" applyAlignment="1" applyProtection="1">
      <protection hidden="1"/>
    </xf>
    <xf numFmtId="0" fontId="0" fillId="0" borderId="81" xfId="0" applyBorder="1" applyAlignment="1" applyProtection="1">
      <protection hidden="1"/>
    </xf>
    <xf numFmtId="0" fontId="0" fillId="0" borderId="82" xfId="0" applyBorder="1" applyAlignment="1" applyProtection="1">
      <protection hidden="1"/>
    </xf>
    <xf numFmtId="0" fontId="1" fillId="7" borderId="0" xfId="0" applyFont="1" applyFill="1" applyAlignment="1" applyProtection="1">
      <alignment wrapText="1"/>
      <protection hidden="1"/>
    </xf>
    <xf numFmtId="196" fontId="2" fillId="2" borderId="0" xfId="2" applyNumberFormat="1" applyFont="1" applyFill="1" applyBorder="1" applyAlignment="1" applyProtection="1">
      <protection hidden="1"/>
    </xf>
    <xf numFmtId="196" fontId="0" fillId="2" borderId="0" xfId="0" applyNumberFormat="1" applyFill="1" applyAlignment="1"/>
    <xf numFmtId="196" fontId="0" fillId="2" borderId="5" xfId="0" applyNumberFormat="1" applyFill="1" applyBorder="1" applyAlignment="1"/>
    <xf numFmtId="0" fontId="2" fillId="2" borderId="0" xfId="0" applyFont="1" applyFill="1" applyAlignment="1" applyProtection="1">
      <alignment vertical="center"/>
      <protection hidden="1"/>
    </xf>
    <xf numFmtId="0" fontId="2" fillId="2" borderId="3" xfId="0" applyFont="1" applyFill="1" applyBorder="1" applyAlignment="1" applyProtection="1">
      <alignment vertical="center"/>
      <protection hidden="1"/>
    </xf>
    <xf numFmtId="0" fontId="2" fillId="2" borderId="0" xfId="0" applyFont="1" applyFill="1" applyAlignment="1" applyProtection="1">
      <alignment horizontal="right"/>
      <protection hidden="1"/>
    </xf>
    <xf numFmtId="0" fontId="2" fillId="2" borderId="29" xfId="0" applyFont="1" applyFill="1" applyBorder="1" applyAlignment="1" applyProtection="1">
      <protection hidden="1"/>
    </xf>
    <xf numFmtId="0" fontId="2" fillId="2" borderId="28" xfId="0" applyFont="1" applyFill="1" applyBorder="1" applyAlignment="1" applyProtection="1">
      <protection hidden="1"/>
    </xf>
    <xf numFmtId="0" fontId="1" fillId="2" borderId="28" xfId="0" applyFont="1" applyFill="1" applyBorder="1" applyAlignment="1" applyProtection="1">
      <protection hidden="1"/>
    </xf>
    <xf numFmtId="1" fontId="2" fillId="2" borderId="28" xfId="0" applyNumberFormat="1" applyFont="1" applyFill="1" applyBorder="1" applyAlignment="1" applyProtection="1">
      <alignment horizontal="left"/>
      <protection hidden="1"/>
    </xf>
    <xf numFmtId="1" fontId="2" fillId="2" borderId="27" xfId="0" applyNumberFormat="1" applyFont="1" applyFill="1" applyBorder="1" applyAlignment="1" applyProtection="1">
      <alignment horizontal="left"/>
      <protection hidden="1"/>
    </xf>
    <xf numFmtId="0" fontId="44" fillId="0" borderId="0" xfId="0" applyFont="1" applyAlignment="1">
      <alignment horizontal="center"/>
    </xf>
    <xf numFmtId="0" fontId="44" fillId="0" borderId="3" xfId="0" applyFont="1" applyBorder="1" applyAlignment="1">
      <alignment horizontal="center"/>
    </xf>
    <xf numFmtId="0" fontId="1" fillId="7" borderId="0" xfId="0" applyFont="1" applyFill="1" applyAlignment="1">
      <alignment wrapText="1"/>
    </xf>
    <xf numFmtId="0" fontId="0" fillId="0" borderId="0" xfId="0" applyAlignment="1">
      <alignment wrapText="1"/>
    </xf>
    <xf numFmtId="1" fontId="1" fillId="2" borderId="29" xfId="0" applyNumberFormat="1" applyFont="1" applyFill="1" applyBorder="1" applyAlignment="1" applyProtection="1">
      <alignment horizontal="right"/>
      <protection hidden="1"/>
    </xf>
    <xf numFmtId="1" fontId="1" fillId="2" borderId="28" xfId="0" applyNumberFormat="1" applyFont="1" applyFill="1" applyBorder="1" applyAlignment="1" applyProtection="1">
      <alignment horizontal="right"/>
      <protection hidden="1"/>
    </xf>
    <xf numFmtId="1" fontId="1" fillId="2" borderId="27" xfId="0" applyNumberFormat="1" applyFont="1" applyFill="1" applyBorder="1" applyAlignment="1" applyProtection="1">
      <alignment horizontal="right"/>
      <protection hidden="1"/>
    </xf>
    <xf numFmtId="0" fontId="5" fillId="0" borderId="5" xfId="0" applyFont="1" applyFill="1" applyBorder="1" applyAlignment="1" applyProtection="1">
      <alignment wrapText="1"/>
      <protection hidden="1"/>
    </xf>
    <xf numFmtId="0" fontId="0" fillId="0" borderId="5" xfId="0" applyFill="1" applyBorder="1" applyAlignment="1">
      <alignment wrapText="1"/>
    </xf>
    <xf numFmtId="0" fontId="6" fillId="2" borderId="0" xfId="0" applyFont="1" applyFill="1" applyAlignment="1" applyProtection="1">
      <alignment horizontal="left" wrapText="1"/>
      <protection hidden="1"/>
    </xf>
    <xf numFmtId="0" fontId="1" fillId="2" borderId="0" xfId="0" applyFont="1" applyFill="1" applyAlignment="1">
      <alignment horizontal="right"/>
    </xf>
    <xf numFmtId="0" fontId="1" fillId="2" borderId="77" xfId="0" applyFont="1" applyFill="1" applyBorder="1" applyAlignment="1" applyProtection="1">
      <protection hidden="1"/>
    </xf>
    <xf numFmtId="44" fontId="1" fillId="0" borderId="0" xfId="2" applyFont="1" applyFill="1" applyBorder="1" applyAlignment="1" applyProtection="1">
      <protection locked="0" hidden="1"/>
    </xf>
    <xf numFmtId="0" fontId="0" fillId="0" borderId="0" xfId="0" applyFill="1" applyBorder="1" applyAlignment="1" applyProtection="1">
      <protection locked="0" hidden="1"/>
    </xf>
    <xf numFmtId="0" fontId="1" fillId="2" borderId="29" xfId="0" applyFont="1" applyFill="1" applyBorder="1" applyAlignment="1" applyProtection="1">
      <alignment horizontal="center" vertical="center"/>
      <protection hidden="1"/>
    </xf>
    <xf numFmtId="0" fontId="1" fillId="2" borderId="28" xfId="0" applyFont="1" applyFill="1" applyBorder="1" applyAlignment="1" applyProtection="1">
      <alignment horizontal="center"/>
      <protection hidden="1"/>
    </xf>
    <xf numFmtId="0" fontId="1" fillId="2" borderId="27" xfId="0" applyFont="1" applyFill="1" applyBorder="1" applyAlignment="1" applyProtection="1">
      <alignment horizontal="center"/>
      <protection hidden="1"/>
    </xf>
    <xf numFmtId="14" fontId="0" fillId="2" borderId="26" xfId="0" applyNumberFormat="1" applyFill="1" applyBorder="1" applyAlignment="1" applyProtection="1">
      <alignment horizontal="center" vertical="top"/>
      <protection hidden="1"/>
    </xf>
    <xf numFmtId="1" fontId="2" fillId="2" borderId="26" xfId="0" applyNumberFormat="1" applyFont="1" applyFill="1" applyBorder="1" applyAlignment="1" applyProtection="1">
      <alignment horizontal="center"/>
      <protection hidden="1"/>
    </xf>
    <xf numFmtId="0" fontId="0" fillId="2" borderId="26" xfId="0" applyFill="1" applyBorder="1" applyAlignment="1"/>
    <xf numFmtId="14" fontId="2" fillId="2" borderId="31" xfId="0" applyNumberFormat="1" applyFont="1" applyFill="1" applyBorder="1" applyAlignment="1" applyProtection="1">
      <alignment horizontal="center" vertical="center" wrapText="1"/>
      <protection hidden="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2" fillId="2" borderId="29" xfId="0" applyFont="1" applyFill="1" applyBorder="1" applyAlignment="1" applyProtection="1">
      <alignment horizontal="center" vertical="top" wrapText="1"/>
      <protection hidden="1"/>
    </xf>
    <xf numFmtId="0" fontId="1" fillId="2" borderId="28" xfId="0" applyFont="1" applyFill="1" applyBorder="1" applyAlignment="1" applyProtection="1">
      <alignment vertical="top" wrapText="1"/>
      <protection hidden="1"/>
    </xf>
    <xf numFmtId="0" fontId="1" fillId="2" borderId="28" xfId="0" applyFont="1" applyFill="1" applyBorder="1" applyAlignment="1"/>
    <xf numFmtId="0" fontId="1" fillId="10" borderId="26" xfId="0" applyFont="1" applyFill="1" applyBorder="1" applyAlignment="1" applyProtection="1">
      <protection hidden="1"/>
    </xf>
    <xf numFmtId="196" fontId="1" fillId="0" borderId="84" xfId="0" applyNumberFormat="1" applyFont="1" applyFill="1" applyBorder="1" applyAlignment="1" applyProtection="1">
      <protection locked="0"/>
    </xf>
    <xf numFmtId="196" fontId="0" fillId="0" borderId="84" xfId="0" applyNumberFormat="1" applyFill="1" applyBorder="1" applyAlignment="1" applyProtection="1">
      <protection locked="0"/>
    </xf>
    <xf numFmtId="0" fontId="30" fillId="2" borderId="78" xfId="0" applyFont="1" applyFill="1" applyBorder="1" applyAlignment="1" applyProtection="1">
      <alignment horizontal="center" vertical="center"/>
      <protection hidden="1"/>
    </xf>
    <xf numFmtId="0" fontId="30" fillId="2" borderId="79" xfId="0" applyFont="1" applyFill="1" applyBorder="1" applyAlignment="1" applyProtection="1">
      <alignment horizontal="center" vertical="center"/>
      <protection hidden="1"/>
    </xf>
    <xf numFmtId="0" fontId="30" fillId="2" borderId="80" xfId="0" applyFont="1" applyFill="1" applyBorder="1" applyAlignment="1" applyProtection="1">
      <alignment horizontal="center" vertical="center"/>
      <protection hidden="1"/>
    </xf>
    <xf numFmtId="0" fontId="44" fillId="7" borderId="0" xfId="0" applyFont="1" applyFill="1" applyBorder="1" applyAlignment="1" applyProtection="1">
      <alignment vertical="center"/>
      <protection hidden="1"/>
    </xf>
    <xf numFmtId="0" fontId="1" fillId="0" borderId="28" xfId="0" applyFont="1" applyBorder="1" applyAlignment="1" applyProtection="1">
      <alignment horizontal="center" vertical="center"/>
      <protection hidden="1"/>
    </xf>
    <xf numFmtId="0" fontId="1" fillId="0" borderId="27" xfId="0" applyFont="1" applyBorder="1" applyAlignment="1" applyProtection="1">
      <alignment horizontal="center" vertical="center"/>
      <protection hidden="1"/>
    </xf>
    <xf numFmtId="43" fontId="2" fillId="2" borderId="26" xfId="0" applyNumberFormat="1" applyFont="1" applyFill="1" applyBorder="1" applyAlignment="1" applyProtection="1"/>
    <xf numFmtId="43" fontId="2" fillId="2" borderId="26" xfId="0" applyNumberFormat="1" applyFont="1" applyFill="1" applyBorder="1" applyAlignment="1" applyProtection="1">
      <protection locked="0"/>
    </xf>
    <xf numFmtId="43" fontId="2" fillId="2" borderId="26" xfId="0" applyNumberFormat="1" applyFont="1" applyFill="1" applyBorder="1" applyAlignment="1" applyProtection="1">
      <protection hidden="1"/>
    </xf>
    <xf numFmtId="43" fontId="2" fillId="8" borderId="26" xfId="0" applyNumberFormat="1" applyFont="1" applyFill="1" applyBorder="1" applyAlignment="1" applyProtection="1">
      <protection locked="0"/>
    </xf>
    <xf numFmtId="180" fontId="2" fillId="8" borderId="29" xfId="0" applyNumberFormat="1" applyFont="1" applyFill="1" applyBorder="1" applyAlignment="1" applyProtection="1">
      <alignment horizontal="center"/>
      <protection locked="0"/>
    </xf>
    <xf numFmtId="180" fontId="2" fillId="8" borderId="28" xfId="0" applyNumberFormat="1" applyFont="1" applyFill="1" applyBorder="1" applyAlignment="1" applyProtection="1">
      <alignment horizontal="center"/>
      <protection locked="0"/>
    </xf>
    <xf numFmtId="180" fontId="0" fillId="8" borderId="27" xfId="0" applyNumberFormat="1" applyFill="1" applyBorder="1" applyAlignment="1" applyProtection="1">
      <alignment horizontal="center"/>
      <protection locked="0"/>
    </xf>
    <xf numFmtId="43" fontId="2" fillId="0" borderId="29" xfId="0" applyNumberFormat="1" applyFont="1" applyFill="1" applyBorder="1" applyAlignment="1" applyProtection="1"/>
    <xf numFmtId="0" fontId="0" fillId="0" borderId="28" xfId="0" applyFill="1" applyBorder="1" applyAlignment="1" applyProtection="1"/>
    <xf numFmtId="0" fontId="0" fillId="0" borderId="27" xfId="0" applyFill="1" applyBorder="1" applyAlignment="1" applyProtection="1"/>
    <xf numFmtId="44" fontId="2" fillId="7" borderId="3" xfId="0" applyNumberFormat="1" applyFont="1" applyFill="1" applyBorder="1" applyAlignment="1" applyProtection="1">
      <protection hidden="1"/>
    </xf>
    <xf numFmtId="0" fontId="2" fillId="7" borderId="14" xfId="0" applyFont="1" applyFill="1" applyBorder="1" applyAlignment="1" applyProtection="1">
      <protection hidden="1"/>
    </xf>
    <xf numFmtId="44" fontId="2" fillId="8" borderId="26" xfId="0" applyNumberFormat="1" applyFont="1" applyFill="1" applyBorder="1" applyAlignment="1" applyProtection="1">
      <protection locked="0"/>
    </xf>
    <xf numFmtId="0" fontId="2" fillId="8" borderId="26" xfId="0" applyFont="1" applyFill="1" applyBorder="1" applyAlignment="1" applyProtection="1">
      <protection locked="0"/>
    </xf>
    <xf numFmtId="44" fontId="2" fillId="2" borderId="15" xfId="0" applyNumberFormat="1" applyFont="1" applyFill="1" applyBorder="1" applyAlignment="1" applyProtection="1">
      <protection hidden="1"/>
    </xf>
    <xf numFmtId="43" fontId="2" fillId="2" borderId="44" xfId="0" applyNumberFormat="1" applyFont="1" applyFill="1" applyBorder="1" applyAlignment="1" applyProtection="1">
      <protection hidden="1"/>
    </xf>
    <xf numFmtId="43" fontId="2" fillId="2" borderId="0" xfId="1" applyFont="1" applyFill="1" applyBorder="1" applyAlignment="1" applyProtection="1">
      <alignment vertical="center"/>
      <protection hidden="1"/>
    </xf>
    <xf numFmtId="0" fontId="1" fillId="2" borderId="29" xfId="0" applyNumberFormat="1" applyFont="1" applyFill="1" applyBorder="1" applyAlignment="1" applyProtection="1">
      <alignment horizontal="center" vertical="center"/>
      <protection hidden="1"/>
    </xf>
    <xf numFmtId="0" fontId="1" fillId="2" borderId="28" xfId="0" applyNumberFormat="1" applyFont="1" applyFill="1" applyBorder="1" applyAlignment="1" applyProtection="1">
      <alignment horizontal="center"/>
      <protection hidden="1"/>
    </xf>
    <xf numFmtId="180" fontId="0" fillId="0" borderId="2" xfId="0" applyNumberFormat="1" applyBorder="1" applyAlignment="1" applyProtection="1">
      <protection hidden="1"/>
    </xf>
    <xf numFmtId="9" fontId="2" fillId="8" borderId="29" xfId="6" applyFont="1" applyFill="1" applyBorder="1" applyAlignment="1" applyProtection="1">
      <alignment horizontal="center"/>
      <protection locked="0"/>
    </xf>
    <xf numFmtId="0" fontId="0" fillId="8" borderId="27" xfId="0" applyFill="1" applyBorder="1" applyAlignment="1" applyProtection="1">
      <protection locked="0"/>
    </xf>
    <xf numFmtId="0" fontId="2" fillId="2" borderId="0" xfId="0" applyFont="1" applyFill="1" applyBorder="1" applyAlignment="1" applyProtection="1">
      <alignment horizontal="left"/>
      <protection hidden="1"/>
    </xf>
    <xf numFmtId="9" fontId="2" fillId="2" borderId="5" xfId="6" applyNumberFormat="1" applyFont="1" applyFill="1" applyBorder="1" applyAlignment="1" applyProtection="1">
      <alignment horizontal="center"/>
      <protection hidden="1"/>
    </xf>
    <xf numFmtId="9" fontId="2" fillId="2" borderId="4" xfId="6" applyNumberFormat="1" applyFont="1" applyFill="1" applyBorder="1" applyAlignment="1" applyProtection="1">
      <alignment horizontal="center"/>
      <protection hidden="1"/>
    </xf>
    <xf numFmtId="0" fontId="2" fillId="0" borderId="0"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180" fontId="2" fillId="0" borderId="29" xfId="0" applyNumberFormat="1" applyFont="1" applyFill="1" applyBorder="1" applyAlignment="1" applyProtection="1">
      <alignment horizontal="center"/>
      <protection hidden="1"/>
    </xf>
    <xf numFmtId="180" fontId="2" fillId="0" borderId="28" xfId="0" applyNumberFormat="1" applyFont="1" applyFill="1" applyBorder="1" applyAlignment="1" applyProtection="1">
      <alignment horizontal="center"/>
      <protection hidden="1"/>
    </xf>
    <xf numFmtId="180" fontId="0" fillId="0" borderId="27" xfId="0" applyNumberFormat="1" applyFill="1" applyBorder="1" applyAlignment="1" applyProtection="1">
      <alignment horizontal="center"/>
      <protection hidden="1"/>
    </xf>
    <xf numFmtId="0" fontId="74" fillId="2" borderId="2" xfId="0" applyFont="1" applyFill="1" applyBorder="1" applyAlignment="1" applyProtection="1">
      <alignment horizontal="center"/>
      <protection hidden="1"/>
    </xf>
    <xf numFmtId="0" fontId="74" fillId="2" borderId="0" xfId="0" applyFont="1" applyFill="1" applyBorder="1" applyAlignment="1" applyProtection="1">
      <alignment horizontal="center"/>
      <protection hidden="1"/>
    </xf>
    <xf numFmtId="0" fontId="74" fillId="2" borderId="3" xfId="0" applyFont="1" applyFill="1" applyBorder="1" applyAlignment="1" applyProtection="1">
      <alignment horizontal="center"/>
      <protection hidden="1"/>
    </xf>
    <xf numFmtId="0" fontId="1" fillId="2" borderId="28" xfId="0" applyFont="1" applyFill="1" applyBorder="1" applyAlignment="1" applyProtection="1">
      <alignment horizontal="center" vertical="center"/>
      <protection hidden="1"/>
    </xf>
    <xf numFmtId="0" fontId="1" fillId="2" borderId="27" xfId="0" applyFont="1" applyFill="1" applyBorder="1" applyAlignment="1" applyProtection="1">
      <alignment horizontal="center" vertical="center"/>
      <protection hidden="1"/>
    </xf>
    <xf numFmtId="0" fontId="44" fillId="2" borderId="2" xfId="0" applyFont="1" applyFill="1" applyBorder="1" applyAlignment="1" applyProtection="1">
      <alignment horizontal="center" vertical="center"/>
      <protection hidden="1"/>
    </xf>
    <xf numFmtId="0" fontId="44" fillId="2" borderId="0" xfId="0" applyFont="1" applyFill="1" applyBorder="1" applyAlignment="1" applyProtection="1">
      <alignment horizontal="center" vertical="center"/>
      <protection hidden="1"/>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2" borderId="4" xfId="0" applyFill="1" applyBorder="1" applyAlignment="1" applyProtection="1">
      <alignment horizontal="center" vertical="center" wrapText="1"/>
      <protection hidden="1"/>
    </xf>
    <xf numFmtId="0" fontId="0" fillId="2" borderId="5" xfId="0" applyFill="1" applyBorder="1" applyAlignment="1">
      <alignment horizontal="center" vertical="center"/>
    </xf>
    <xf numFmtId="0" fontId="0" fillId="2" borderId="1" xfId="0" applyFill="1" applyBorder="1" applyAlignment="1">
      <alignment horizontal="center" vertical="center"/>
    </xf>
    <xf numFmtId="1" fontId="2" fillId="2" borderId="26" xfId="0" applyNumberFormat="1"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wrapText="1"/>
      <protection hidden="1"/>
    </xf>
    <xf numFmtId="0" fontId="0" fillId="2" borderId="26" xfId="0" applyFill="1" applyBorder="1" applyAlignment="1" applyProtection="1">
      <alignment horizontal="center" wrapText="1"/>
      <protection hidden="1"/>
    </xf>
    <xf numFmtId="0" fontId="2" fillId="0" borderId="0" xfId="0" applyFont="1" applyFill="1" applyBorder="1" applyAlignment="1" applyProtection="1">
      <protection hidden="1"/>
    </xf>
    <xf numFmtId="0" fontId="0" fillId="0" borderId="0" xfId="0" applyFill="1" applyAlignment="1"/>
    <xf numFmtId="0" fontId="0" fillId="0" borderId="3" xfId="0" applyFill="1" applyBorder="1" applyAlignment="1"/>
    <xf numFmtId="0" fontId="2" fillId="7" borderId="2" xfId="0" applyFont="1" applyFill="1" applyBorder="1" applyAlignment="1" applyProtection="1">
      <alignment horizontal="center"/>
      <protection hidden="1"/>
    </xf>
    <xf numFmtId="0" fontId="0" fillId="7" borderId="0" xfId="0" applyFill="1" applyBorder="1" applyAlignment="1">
      <alignment horizontal="center"/>
    </xf>
    <xf numFmtId="0" fontId="0" fillId="7" borderId="3" xfId="0" applyFill="1" applyBorder="1" applyAlignment="1">
      <alignment horizontal="center"/>
    </xf>
    <xf numFmtId="167" fontId="1" fillId="0" borderId="85" xfId="0" applyNumberFormat="1" applyFont="1" applyFill="1" applyBorder="1" applyAlignment="1" applyProtection="1">
      <protection locked="0" hidden="1"/>
    </xf>
    <xf numFmtId="167" fontId="1" fillId="0" borderId="86" xfId="0" applyNumberFormat="1" applyFont="1" applyFill="1" applyBorder="1" applyAlignment="1" applyProtection="1">
      <protection locked="0" hidden="1"/>
    </xf>
    <xf numFmtId="0" fontId="1" fillId="2" borderId="81" xfId="0" applyFont="1" applyFill="1" applyBorder="1" applyAlignment="1" applyProtection="1">
      <protection hidden="1"/>
    </xf>
    <xf numFmtId="0" fontId="2" fillId="0" borderId="0" xfId="0" applyFont="1" applyBorder="1" applyAlignment="1"/>
    <xf numFmtId="0" fontId="83" fillId="2" borderId="0" xfId="0" applyFont="1" applyFill="1" applyBorder="1" applyAlignment="1" applyProtection="1">
      <alignment horizontal="left"/>
      <protection hidden="1"/>
    </xf>
    <xf numFmtId="0" fontId="83" fillId="0" borderId="0" xfId="0" applyFont="1" applyAlignment="1"/>
    <xf numFmtId="0" fontId="0" fillId="0" borderId="27" xfId="0" applyBorder="1" applyAlignment="1"/>
    <xf numFmtId="196" fontId="2" fillId="0" borderId="81" xfId="0" applyNumberFormat="1" applyFont="1" applyBorder="1" applyAlignment="1" applyProtection="1">
      <protection hidden="1"/>
    </xf>
    <xf numFmtId="196" fontId="2" fillId="0" borderId="30" xfId="0" applyNumberFormat="1" applyFont="1" applyBorder="1" applyAlignment="1" applyProtection="1">
      <protection hidden="1"/>
    </xf>
    <xf numFmtId="44" fontId="2" fillId="8" borderId="29" xfId="0" applyNumberFormat="1" applyFont="1" applyFill="1" applyBorder="1" applyAlignment="1" applyProtection="1">
      <alignment horizontal="center"/>
      <protection locked="0"/>
    </xf>
    <xf numFmtId="44" fontId="0" fillId="8" borderId="28" xfId="0" applyNumberFormat="1" applyFill="1" applyBorder="1" applyAlignment="1" applyProtection="1">
      <protection locked="0"/>
    </xf>
    <xf numFmtId="44" fontId="0" fillId="8" borderId="27" xfId="0" applyNumberFormat="1" applyFill="1" applyBorder="1" applyAlignment="1" applyProtection="1">
      <protection locked="0"/>
    </xf>
    <xf numFmtId="196" fontId="2" fillId="2" borderId="28" xfId="0" applyNumberFormat="1" applyFont="1" applyFill="1" applyBorder="1" applyAlignment="1" applyProtection="1">
      <protection hidden="1"/>
    </xf>
    <xf numFmtId="182" fontId="2" fillId="8" borderId="29" xfId="0" applyNumberFormat="1" applyFont="1" applyFill="1" applyBorder="1" applyAlignment="1" applyProtection="1">
      <alignment horizontal="left" vertical="center"/>
      <protection locked="0"/>
    </xf>
    <xf numFmtId="182" fontId="2" fillId="8" borderId="28" xfId="0" applyNumberFormat="1" applyFont="1" applyFill="1" applyBorder="1" applyAlignment="1" applyProtection="1">
      <alignment horizontal="left" vertical="center"/>
      <protection locked="0"/>
    </xf>
    <xf numFmtId="182" fontId="2" fillId="8" borderId="27" xfId="0" applyNumberFormat="1" applyFont="1" applyFill="1" applyBorder="1" applyAlignment="1" applyProtection="1">
      <alignment horizontal="left" vertical="center"/>
      <protection locked="0"/>
    </xf>
    <xf numFmtId="0" fontId="0" fillId="2" borderId="0" xfId="0" applyFill="1" applyBorder="1" applyAlignment="1" applyProtection="1">
      <alignment horizontal="center"/>
      <protection hidden="1"/>
    </xf>
    <xf numFmtId="0" fontId="0" fillId="2" borderId="0" xfId="0" applyFill="1" applyBorder="1" applyAlignment="1" applyProtection="1">
      <alignment horizontal="right"/>
      <protection hidden="1"/>
    </xf>
    <xf numFmtId="168" fontId="2" fillId="8" borderId="29" xfId="0" applyNumberFormat="1" applyFont="1" applyFill="1" applyBorder="1" applyAlignment="1" applyProtection="1">
      <alignment horizontal="center"/>
      <protection locked="0"/>
    </xf>
    <xf numFmtId="168" fontId="2" fillId="8" borderId="28" xfId="0" applyNumberFormat="1" applyFont="1" applyFill="1" applyBorder="1" applyAlignment="1" applyProtection="1">
      <alignment horizontal="center"/>
      <protection locked="0"/>
    </xf>
    <xf numFmtId="168" fontId="2" fillId="8" borderId="27" xfId="0" applyNumberFormat="1" applyFont="1" applyFill="1" applyBorder="1" applyAlignment="1" applyProtection="1">
      <alignment horizontal="center"/>
      <protection locked="0"/>
    </xf>
    <xf numFmtId="0" fontId="30" fillId="2" borderId="4" xfId="0" applyFont="1" applyFill="1" applyBorder="1" applyAlignment="1" applyProtection="1">
      <alignment horizontal="center" vertical="center"/>
      <protection hidden="1"/>
    </xf>
    <xf numFmtId="0" fontId="30" fillId="2" borderId="5" xfId="0" applyFont="1" applyFill="1" applyBorder="1" applyAlignment="1" applyProtection="1">
      <alignment horizontal="center" vertical="center"/>
      <protection hidden="1"/>
    </xf>
    <xf numFmtId="0" fontId="30" fillId="2" borderId="1" xfId="0" applyFont="1" applyFill="1" applyBorder="1" applyAlignment="1" applyProtection="1">
      <alignment horizontal="center" vertical="center"/>
      <protection hidden="1"/>
    </xf>
    <xf numFmtId="12" fontId="2" fillId="0" borderId="29" xfId="0" applyNumberFormat="1" applyFont="1" applyFill="1" applyBorder="1" applyAlignment="1" applyProtection="1">
      <alignment horizontal="left"/>
      <protection hidden="1"/>
    </xf>
    <xf numFmtId="0" fontId="0" fillId="0" borderId="28" xfId="0" applyFill="1" applyBorder="1" applyAlignment="1" applyProtection="1">
      <alignment horizontal="left"/>
      <protection hidden="1"/>
    </xf>
    <xf numFmtId="0" fontId="0" fillId="0" borderId="27" xfId="0" applyFill="1" applyBorder="1" applyAlignment="1" applyProtection="1">
      <alignment horizontal="left"/>
      <protection hidden="1"/>
    </xf>
    <xf numFmtId="0" fontId="2" fillId="7" borderId="0" xfId="0" applyFont="1" applyFill="1" applyBorder="1" applyAlignment="1" applyProtection="1">
      <alignment horizontal="center"/>
      <protection hidden="1"/>
    </xf>
    <xf numFmtId="0" fontId="2" fillId="7" borderId="3" xfId="0" applyFont="1" applyFill="1" applyBorder="1" applyAlignment="1" applyProtection="1">
      <alignment horizontal="center"/>
      <protection hidden="1"/>
    </xf>
    <xf numFmtId="0" fontId="2" fillId="7" borderId="0" xfId="0" applyFont="1" applyFill="1" applyBorder="1" applyAlignment="1" applyProtection="1">
      <alignment horizontal="left"/>
      <protection hidden="1"/>
    </xf>
    <xf numFmtId="0" fontId="2" fillId="7" borderId="0" xfId="0" applyFont="1" applyFill="1" applyAlignment="1">
      <alignment horizontal="left"/>
    </xf>
    <xf numFmtId="0" fontId="0" fillId="0" borderId="0" xfId="0" applyAlignment="1">
      <alignment horizontal="left"/>
    </xf>
    <xf numFmtId="44" fontId="2" fillId="8" borderId="28" xfId="0" applyNumberFormat="1" applyFont="1" applyFill="1" applyBorder="1" applyAlignment="1" applyProtection="1">
      <alignment horizontal="center"/>
      <protection locked="0"/>
    </xf>
    <xf numFmtId="44" fontId="2" fillId="8" borderId="27" xfId="0" applyNumberFormat="1" applyFont="1" applyFill="1" applyBorder="1" applyAlignment="1" applyProtection="1">
      <alignment horizontal="center"/>
      <protection locked="0"/>
    </xf>
    <xf numFmtId="180" fontId="2" fillId="0" borderId="29" xfId="0" applyNumberFormat="1" applyFont="1" applyFill="1" applyBorder="1" applyAlignment="1" applyProtection="1">
      <alignment horizontal="center"/>
      <protection locked="0"/>
    </xf>
    <xf numFmtId="180" fontId="0" fillId="0" borderId="28" xfId="0" applyNumberFormat="1" applyFill="1" applyBorder="1" applyAlignment="1" applyProtection="1">
      <alignment horizontal="center"/>
      <protection locked="0"/>
    </xf>
    <xf numFmtId="180" fontId="0" fillId="0" borderId="27" xfId="0" applyNumberFormat="1" applyFill="1" applyBorder="1" applyAlignment="1" applyProtection="1">
      <alignment horizontal="center"/>
      <protection locked="0"/>
    </xf>
    <xf numFmtId="0" fontId="2" fillId="7" borderId="2" xfId="0" applyFont="1" applyFill="1" applyBorder="1" applyAlignment="1" applyProtection="1">
      <protection hidden="1"/>
    </xf>
    <xf numFmtId="0" fontId="2" fillId="7" borderId="2" xfId="0" applyFont="1" applyFill="1" applyBorder="1" applyAlignment="1">
      <alignment horizontal="left"/>
    </xf>
    <xf numFmtId="189" fontId="2" fillId="0" borderId="29" xfId="0" applyNumberFormat="1" applyFont="1" applyFill="1" applyBorder="1" applyAlignment="1" applyProtection="1">
      <alignment horizontal="center"/>
      <protection locked="0"/>
    </xf>
    <xf numFmtId="189" fontId="2" fillId="0" borderId="28" xfId="0" applyNumberFormat="1" applyFont="1" applyFill="1" applyBorder="1" applyAlignment="1" applyProtection="1">
      <alignment horizontal="center"/>
      <protection locked="0"/>
    </xf>
    <xf numFmtId="189" fontId="2" fillId="0" borderId="27" xfId="0" applyNumberFormat="1" applyFont="1" applyFill="1" applyBorder="1" applyAlignment="1" applyProtection="1">
      <alignment horizontal="center"/>
      <protection locked="0"/>
    </xf>
    <xf numFmtId="0" fontId="43" fillId="0" borderId="2" xfId="0" applyFont="1" applyBorder="1" applyAlignment="1">
      <alignment wrapText="1"/>
    </xf>
    <xf numFmtId="0" fontId="43" fillId="0" borderId="0" xfId="0" applyFont="1" applyBorder="1" applyAlignment="1">
      <alignment wrapText="1"/>
    </xf>
    <xf numFmtId="180" fontId="0" fillId="0" borderId="28" xfId="0" applyNumberFormat="1" applyFill="1" applyBorder="1" applyAlignment="1" applyProtection="1">
      <alignment horizontal="center"/>
      <protection hidden="1"/>
    </xf>
    <xf numFmtId="0" fontId="1" fillId="9" borderId="29" xfId="0" applyFont="1" applyFill="1" applyBorder="1" applyAlignment="1" applyProtection="1">
      <alignment horizontal="center" vertical="center"/>
      <protection hidden="1"/>
    </xf>
    <xf numFmtId="0" fontId="1" fillId="9" borderId="28" xfId="0" applyFont="1" applyFill="1" applyBorder="1" applyAlignment="1" applyProtection="1">
      <alignment horizontal="center" vertical="center"/>
      <protection hidden="1"/>
    </xf>
    <xf numFmtId="0" fontId="1" fillId="9" borderId="27" xfId="0" applyFont="1" applyFill="1" applyBorder="1" applyAlignment="1" applyProtection="1">
      <alignment horizontal="center" vertical="center"/>
      <protection hidden="1"/>
    </xf>
    <xf numFmtId="0" fontId="2" fillId="2" borderId="51" xfId="0" applyFont="1" applyFill="1" applyBorder="1" applyAlignment="1" applyProtection="1">
      <protection locked="0"/>
    </xf>
    <xf numFmtId="0" fontId="0" fillId="0" borderId="52" xfId="0" applyBorder="1" applyAlignment="1" applyProtection="1">
      <protection locked="0"/>
    </xf>
    <xf numFmtId="0" fontId="0" fillId="0" borderId="53" xfId="0" applyBorder="1" applyAlignment="1" applyProtection="1">
      <protection locked="0"/>
    </xf>
    <xf numFmtId="0" fontId="2" fillId="2" borderId="45" xfId="0" applyFont="1" applyFill="1" applyBorder="1" applyAlignment="1" applyProtection="1">
      <protection locked="0"/>
    </xf>
    <xf numFmtId="0" fontId="0" fillId="0" borderId="46" xfId="0" applyBorder="1" applyAlignment="1" applyProtection="1">
      <protection locked="0"/>
    </xf>
    <xf numFmtId="0" fontId="0" fillId="0" borderId="47" xfId="0" applyBorder="1" applyAlignment="1" applyProtection="1">
      <protection locked="0"/>
    </xf>
    <xf numFmtId="0" fontId="2" fillId="2" borderId="48" xfId="0" applyFont="1" applyFill="1" applyBorder="1" applyAlignment="1" applyProtection="1">
      <protection locked="0"/>
    </xf>
    <xf numFmtId="0" fontId="0" fillId="0" borderId="49" xfId="0" applyBorder="1" applyAlignment="1" applyProtection="1">
      <protection locked="0"/>
    </xf>
    <xf numFmtId="0" fontId="0" fillId="0" borderId="50" xfId="0" applyBorder="1" applyAlignment="1" applyProtection="1">
      <protection locked="0"/>
    </xf>
    <xf numFmtId="0" fontId="2" fillId="0" borderId="0" xfId="0" applyFont="1" applyFill="1" applyAlignment="1" applyProtection="1">
      <protection hidden="1"/>
    </xf>
    <xf numFmtId="0" fontId="2" fillId="0" borderId="0" xfId="0" applyFont="1" applyAlignment="1" applyProtection="1">
      <protection hidden="1"/>
    </xf>
    <xf numFmtId="190" fontId="0" fillId="7" borderId="0" xfId="0" applyNumberFormat="1" applyFill="1" applyBorder="1" applyAlignment="1" applyProtection="1">
      <alignment horizontal="left"/>
      <protection hidden="1"/>
    </xf>
    <xf numFmtId="190" fontId="0" fillId="7" borderId="0" xfId="0" applyNumberFormat="1" applyFill="1" applyAlignment="1" applyProtection="1">
      <protection hidden="1"/>
    </xf>
    <xf numFmtId="170" fontId="2" fillId="9" borderId="29" xfId="0" applyNumberFormat="1" applyFont="1" applyFill="1" applyBorder="1" applyAlignment="1" applyProtection="1">
      <alignment horizontal="right"/>
      <protection locked="0"/>
    </xf>
    <xf numFmtId="170" fontId="0" fillId="0" borderId="28" xfId="0" applyNumberFormat="1" applyBorder="1" applyAlignment="1" applyProtection="1">
      <alignment horizontal="right"/>
      <protection locked="0"/>
    </xf>
    <xf numFmtId="170" fontId="0" fillId="0" borderId="43" xfId="0" applyNumberFormat="1" applyBorder="1" applyAlignment="1" applyProtection="1">
      <alignment horizontal="right"/>
      <protection locked="0"/>
    </xf>
    <xf numFmtId="0" fontId="2" fillId="0" borderId="0" xfId="0" applyFont="1" applyAlignment="1"/>
    <xf numFmtId="44" fontId="2" fillId="7" borderId="0" xfId="0" applyNumberFormat="1" applyFont="1" applyFill="1" applyBorder="1" applyAlignment="1" applyProtection="1">
      <protection locked="0"/>
    </xf>
    <xf numFmtId="0" fontId="2" fillId="9" borderId="29" xfId="0" applyNumberFormat="1" applyFont="1" applyFill="1" applyBorder="1" applyAlignment="1" applyProtection="1">
      <alignment horizontal="left"/>
      <protection locked="0"/>
    </xf>
    <xf numFmtId="0" fontId="0" fillId="0" borderId="28" xfId="0" applyNumberFormat="1" applyBorder="1" applyAlignment="1" applyProtection="1">
      <alignment horizontal="left"/>
      <protection locked="0"/>
    </xf>
    <xf numFmtId="0" fontId="0" fillId="0" borderId="27" xfId="0" applyNumberFormat="1" applyBorder="1" applyAlignment="1" applyProtection="1">
      <alignment horizontal="left"/>
      <protection locked="0"/>
    </xf>
    <xf numFmtId="195" fontId="2" fillId="9" borderId="29" xfId="0" applyNumberFormat="1" applyFont="1" applyFill="1" applyBorder="1" applyAlignment="1" applyProtection="1">
      <alignment horizontal="left"/>
      <protection locked="0"/>
    </xf>
    <xf numFmtId="195" fontId="0" fillId="0" borderId="28" xfId="0" applyNumberFormat="1" applyBorder="1" applyAlignment="1" applyProtection="1">
      <alignment horizontal="left"/>
      <protection locked="0"/>
    </xf>
    <xf numFmtId="195" fontId="0" fillId="0" borderId="27" xfId="0" applyNumberFormat="1" applyBorder="1" applyAlignment="1" applyProtection="1">
      <alignment horizontal="left"/>
      <protection locked="0"/>
    </xf>
    <xf numFmtId="0" fontId="2" fillId="0" borderId="29" xfId="0" applyFont="1" applyFill="1" applyBorder="1" applyAlignment="1" applyProtection="1">
      <alignment horizontal="left"/>
      <protection hidden="1"/>
    </xf>
    <xf numFmtId="0" fontId="2" fillId="2" borderId="29" xfId="0" applyFont="1" applyFill="1" applyBorder="1" applyAlignment="1" applyProtection="1">
      <alignment horizontal="left"/>
      <protection locked="0"/>
    </xf>
    <xf numFmtId="0" fontId="0" fillId="0" borderId="28" xfId="0" applyBorder="1" applyAlignment="1" applyProtection="1">
      <alignment horizontal="left"/>
      <protection locked="0"/>
    </xf>
    <xf numFmtId="0" fontId="0" fillId="0" borderId="27" xfId="0" applyBorder="1" applyAlignment="1" applyProtection="1">
      <alignment horizontal="left"/>
      <protection locked="0"/>
    </xf>
    <xf numFmtId="0" fontId="2" fillId="7" borderId="2" xfId="0" applyFont="1" applyFill="1" applyBorder="1" applyAlignment="1" applyProtection="1">
      <alignment horizontal="right"/>
      <protection hidden="1"/>
    </xf>
    <xf numFmtId="168" fontId="0" fillId="7" borderId="0" xfId="0" applyNumberFormat="1" applyFill="1" applyBorder="1" applyAlignment="1" applyProtection="1">
      <alignment horizontal="left"/>
      <protection hidden="1"/>
    </xf>
    <xf numFmtId="168" fontId="0" fillId="7" borderId="0" xfId="0" applyNumberFormat="1" applyFill="1" applyAlignment="1" applyProtection="1">
      <protection hidden="1"/>
    </xf>
    <xf numFmtId="168" fontId="0" fillId="7" borderId="3" xfId="0" applyNumberFormat="1" applyFill="1" applyBorder="1" applyAlignment="1" applyProtection="1">
      <protection hidden="1"/>
    </xf>
    <xf numFmtId="170" fontId="2" fillId="7" borderId="29" xfId="0" applyNumberFormat="1" applyFont="1" applyFill="1" applyBorder="1" applyAlignment="1" applyProtection="1">
      <protection hidden="1"/>
    </xf>
    <xf numFmtId="0" fontId="0" fillId="7" borderId="28" xfId="0" applyFill="1" applyBorder="1" applyAlignment="1" applyProtection="1">
      <protection hidden="1"/>
    </xf>
    <xf numFmtId="0" fontId="2" fillId="7" borderId="28" xfId="0" applyFont="1" applyFill="1" applyBorder="1" applyAlignment="1" applyProtection="1">
      <alignment horizontal="left"/>
      <protection hidden="1"/>
    </xf>
    <xf numFmtId="0" fontId="0" fillId="7" borderId="27" xfId="0" applyFill="1" applyBorder="1" applyAlignment="1" applyProtection="1">
      <alignment horizontal="left"/>
      <protection hidden="1"/>
    </xf>
    <xf numFmtId="0" fontId="44" fillId="2" borderId="5" xfId="0" applyFont="1" applyFill="1" applyBorder="1" applyAlignment="1" applyProtection="1">
      <alignment horizontal="center"/>
      <protection hidden="1"/>
    </xf>
    <xf numFmtId="0" fontId="2" fillId="9" borderId="45" xfId="0" applyFont="1" applyFill="1" applyBorder="1" applyAlignment="1" applyProtection="1">
      <alignment horizontal="left"/>
      <protection locked="0"/>
    </xf>
    <xf numFmtId="0" fontId="0" fillId="9" borderId="46" xfId="0" applyFill="1" applyBorder="1" applyAlignment="1" applyProtection="1">
      <protection locked="0"/>
    </xf>
    <xf numFmtId="0" fontId="0" fillId="9" borderId="47" xfId="0" applyFill="1" applyBorder="1" applyAlignment="1" applyProtection="1">
      <protection locked="0"/>
    </xf>
    <xf numFmtId="0" fontId="2" fillId="9" borderId="4" xfId="0" applyFont="1" applyFill="1" applyBorder="1" applyAlignment="1" applyProtection="1">
      <alignment horizontal="left"/>
      <protection locked="0"/>
    </xf>
    <xf numFmtId="0" fontId="0" fillId="9" borderId="5" xfId="0" applyFill="1" applyBorder="1" applyAlignment="1" applyProtection="1">
      <protection locked="0"/>
    </xf>
    <xf numFmtId="0" fontId="0" fillId="9" borderId="1" xfId="0" applyFill="1" applyBorder="1" applyAlignment="1" applyProtection="1">
      <protection locked="0"/>
    </xf>
    <xf numFmtId="0" fontId="2" fillId="7" borderId="0" xfId="0" applyFont="1" applyFill="1" applyAlignment="1">
      <alignment horizontal="left" vertical="top"/>
    </xf>
    <xf numFmtId="0" fontId="2" fillId="7" borderId="3" xfId="0" applyFont="1" applyFill="1" applyBorder="1" applyAlignment="1">
      <alignment horizontal="left" vertical="top"/>
    </xf>
    <xf numFmtId="178" fontId="2" fillId="7" borderId="2" xfId="0" applyNumberFormat="1" applyFont="1" applyFill="1" applyBorder="1" applyAlignment="1" applyProtection="1">
      <alignment horizontal="left"/>
      <protection hidden="1"/>
    </xf>
    <xf numFmtId="0" fontId="2" fillId="7" borderId="0" xfId="0" applyFont="1" applyFill="1" applyAlignment="1"/>
    <xf numFmtId="0" fontId="2" fillId="9" borderId="29" xfId="0" applyFont="1" applyFill="1" applyBorder="1" applyAlignment="1" applyProtection="1">
      <alignment horizontal="left" vertical="top" wrapText="1"/>
      <protection locked="0"/>
    </xf>
    <xf numFmtId="0" fontId="0" fillId="9" borderId="28" xfId="0" applyFill="1" applyBorder="1" applyAlignment="1" applyProtection="1">
      <alignment vertical="top" wrapText="1"/>
      <protection locked="0"/>
    </xf>
    <xf numFmtId="0" fontId="0" fillId="9" borderId="27" xfId="0" applyFill="1" applyBorder="1" applyAlignment="1" applyProtection="1">
      <alignment vertical="top" wrapText="1"/>
      <protection locked="0"/>
    </xf>
    <xf numFmtId="0" fontId="2" fillId="2" borderId="2" xfId="0" applyFont="1" applyFill="1" applyBorder="1" applyAlignment="1" applyProtection="1">
      <alignment horizontal="left" vertical="center"/>
      <protection hidden="1"/>
    </xf>
    <xf numFmtId="0" fontId="2" fillId="2" borderId="0" xfId="0" applyFont="1" applyFill="1" applyBorder="1" applyAlignment="1" applyProtection="1">
      <alignment horizontal="left" vertical="center"/>
      <protection hidden="1"/>
    </xf>
    <xf numFmtId="0" fontId="0" fillId="7" borderId="28" xfId="0" applyFill="1" applyBorder="1" applyAlignment="1">
      <alignment vertical="top"/>
    </xf>
    <xf numFmtId="1" fontId="2" fillId="9" borderId="28" xfId="0" applyNumberFormat="1" applyFont="1" applyFill="1" applyBorder="1" applyAlignment="1" applyProtection="1">
      <alignment horizontal="left"/>
      <protection locked="0"/>
    </xf>
    <xf numFmtId="1" fontId="2" fillId="0" borderId="27" xfId="0" applyNumberFormat="1" applyFont="1" applyBorder="1" applyAlignment="1" applyProtection="1">
      <alignment horizontal="left"/>
      <protection locked="0"/>
    </xf>
    <xf numFmtId="178" fontId="2" fillId="9" borderId="29" xfId="0" applyNumberFormat="1" applyFont="1" applyFill="1" applyBorder="1" applyAlignment="1" applyProtection="1">
      <alignment horizontal="left"/>
      <protection locked="0"/>
    </xf>
    <xf numFmtId="49" fontId="2" fillId="9" borderId="29" xfId="0" applyNumberFormat="1" applyFont="1" applyFill="1" applyBorder="1" applyAlignment="1" applyProtection="1">
      <alignment horizontal="left"/>
      <protection locked="0"/>
    </xf>
    <xf numFmtId="0" fontId="2" fillId="2" borderId="29" xfId="0" applyFont="1" applyFill="1" applyBorder="1" applyAlignment="1" applyProtection="1">
      <alignment horizontal="left"/>
      <protection hidden="1"/>
    </xf>
    <xf numFmtId="0" fontId="2" fillId="2" borderId="28" xfId="0" applyFont="1" applyFill="1" applyBorder="1" applyAlignment="1" applyProtection="1">
      <alignment horizontal="left"/>
      <protection hidden="1"/>
    </xf>
    <xf numFmtId="0" fontId="2" fillId="2" borderId="27" xfId="0" applyFont="1" applyFill="1" applyBorder="1" applyAlignment="1" applyProtection="1">
      <alignment horizontal="left"/>
      <protection hidden="1"/>
    </xf>
    <xf numFmtId="0" fontId="5" fillId="7" borderId="0" xfId="0" applyFont="1" applyFill="1" applyAlignment="1">
      <alignment horizontal="center"/>
    </xf>
    <xf numFmtId="0" fontId="19" fillId="7" borderId="0" xfId="0" applyFont="1" applyFill="1" applyAlignment="1">
      <alignment horizontal="center"/>
    </xf>
    <xf numFmtId="0" fontId="1" fillId="7" borderId="0" xfId="0" applyFont="1" applyFill="1" applyAlignment="1" applyProtection="1">
      <alignment horizontal="left" vertical="top" wrapText="1"/>
      <protection hidden="1"/>
    </xf>
    <xf numFmtId="0" fontId="0" fillId="7" borderId="0" xfId="0" applyFill="1" applyAlignment="1" applyProtection="1">
      <alignment horizontal="left" vertical="top" wrapText="1"/>
      <protection hidden="1"/>
    </xf>
    <xf numFmtId="0" fontId="1" fillId="7" borderId="0" xfId="0" applyFont="1" applyFill="1" applyAlignment="1" applyProtection="1">
      <alignment horizontal="left" wrapText="1"/>
      <protection hidden="1"/>
    </xf>
    <xf numFmtId="0" fontId="0" fillId="7" borderId="0" xfId="0" applyFill="1" applyAlignment="1" applyProtection="1">
      <alignment horizontal="left" wrapText="1"/>
      <protection hidden="1"/>
    </xf>
    <xf numFmtId="0" fontId="2" fillId="7" borderId="0" xfId="0" applyFont="1" applyFill="1" applyAlignment="1" applyProtection="1">
      <alignment wrapText="1"/>
      <protection hidden="1"/>
    </xf>
    <xf numFmtId="0" fontId="0" fillId="7" borderId="0" xfId="0" applyFill="1" applyAlignment="1" applyProtection="1">
      <alignment wrapText="1"/>
      <protection hidden="1"/>
    </xf>
    <xf numFmtId="0" fontId="10" fillId="7" borderId="0" xfId="0" applyFont="1" applyFill="1" applyAlignment="1" applyProtection="1">
      <alignment horizontal="left" wrapText="1"/>
      <protection hidden="1"/>
    </xf>
    <xf numFmtId="0" fontId="2" fillId="7" borderId="0" xfId="0" applyFont="1" applyFill="1" applyBorder="1" applyAlignment="1" applyProtection="1">
      <alignment vertical="top" wrapText="1"/>
      <protection hidden="1"/>
    </xf>
    <xf numFmtId="168" fontId="0" fillId="7" borderId="5" xfId="0" applyNumberFormat="1" applyFill="1" applyBorder="1" applyAlignment="1" applyProtection="1">
      <alignment horizontal="left" wrapText="1"/>
      <protection hidden="1"/>
    </xf>
    <xf numFmtId="0" fontId="0" fillId="7" borderId="5" xfId="0" applyFill="1" applyBorder="1" applyAlignment="1" applyProtection="1">
      <alignment wrapText="1"/>
      <protection hidden="1"/>
    </xf>
    <xf numFmtId="0" fontId="1" fillId="7" borderId="0" xfId="0" applyFont="1" applyFill="1" applyAlignment="1" applyProtection="1">
      <alignment vertical="top"/>
      <protection hidden="1"/>
    </xf>
    <xf numFmtId="0" fontId="0" fillId="0" borderId="0" xfId="0" applyAlignment="1" applyProtection="1">
      <alignment vertical="top"/>
      <protection hidden="1"/>
    </xf>
    <xf numFmtId="168" fontId="2" fillId="7" borderId="5" xfId="0" applyNumberFormat="1" applyFont="1" applyFill="1" applyBorder="1" applyAlignment="1" applyProtection="1">
      <alignment horizontal="center"/>
      <protection hidden="1"/>
    </xf>
    <xf numFmtId="0" fontId="10" fillId="7" borderId="0" xfId="0" applyFont="1" applyFill="1" applyAlignment="1" applyProtection="1">
      <protection hidden="1"/>
    </xf>
    <xf numFmtId="49" fontId="0" fillId="7" borderId="0" xfId="0" applyNumberFormat="1" applyFill="1" applyBorder="1" applyAlignment="1" applyProtection="1">
      <alignment wrapText="1"/>
      <protection hidden="1"/>
    </xf>
    <xf numFmtId="0" fontId="0" fillId="7" borderId="0" xfId="0" applyFill="1" applyBorder="1" applyAlignment="1" applyProtection="1">
      <alignment wrapText="1"/>
      <protection hidden="1"/>
    </xf>
    <xf numFmtId="0" fontId="2" fillId="7" borderId="0" xfId="0" applyFont="1" applyFill="1" applyAlignment="1" applyProtection="1">
      <alignment vertical="top" wrapText="1"/>
      <protection hidden="1"/>
    </xf>
    <xf numFmtId="0" fontId="1" fillId="7" borderId="0" xfId="0" applyFont="1" applyFill="1" applyAlignment="1" applyProtection="1">
      <alignment vertical="top" wrapText="1"/>
      <protection hidden="1"/>
    </xf>
    <xf numFmtId="44" fontId="2" fillId="7" borderId="5" xfId="0" applyNumberFormat="1" applyFont="1" applyFill="1" applyBorder="1" applyAlignment="1" applyProtection="1">
      <alignment horizontal="center" vertical="top" wrapText="1"/>
      <protection hidden="1"/>
    </xf>
    <xf numFmtId="44" fontId="0" fillId="7" borderId="5" xfId="0" applyNumberFormat="1" applyFill="1" applyBorder="1" applyAlignment="1" applyProtection="1">
      <alignment horizontal="center" wrapText="1"/>
      <protection hidden="1"/>
    </xf>
    <xf numFmtId="0" fontId="1" fillId="7" borderId="0" xfId="0" applyNumberFormat="1" applyFont="1" applyFill="1" applyAlignment="1" applyProtection="1">
      <alignment vertical="top" wrapText="1"/>
      <protection hidden="1"/>
    </xf>
    <xf numFmtId="0" fontId="0" fillId="7" borderId="0" xfId="0" applyFill="1" applyAlignment="1" applyProtection="1">
      <alignment vertical="top" wrapText="1"/>
      <protection hidden="1"/>
    </xf>
    <xf numFmtId="0" fontId="1" fillId="7" borderId="0" xfId="0" applyNumberFormat="1" applyFont="1" applyFill="1" applyBorder="1" applyAlignment="1" applyProtection="1">
      <alignment vertical="top" wrapText="1"/>
      <protection hidden="1"/>
    </xf>
    <xf numFmtId="0" fontId="0" fillId="0" borderId="0" xfId="0" applyAlignment="1" applyProtection="1">
      <alignment wrapText="1"/>
      <protection hidden="1"/>
    </xf>
    <xf numFmtId="0" fontId="0" fillId="7" borderId="5" xfId="0" applyFill="1" applyBorder="1" applyAlignment="1" applyProtection="1">
      <protection hidden="1"/>
    </xf>
    <xf numFmtId="0" fontId="1" fillId="7" borderId="0" xfId="0" applyFont="1" applyFill="1" applyAlignment="1" applyProtection="1">
      <alignment horizontal="left"/>
      <protection hidden="1"/>
    </xf>
    <xf numFmtId="0" fontId="5" fillId="7" borderId="0" xfId="0" applyFont="1" applyFill="1" applyAlignment="1" applyProtection="1">
      <alignment horizontal="center" wrapText="1"/>
      <protection hidden="1"/>
    </xf>
    <xf numFmtId="0" fontId="5" fillId="7" borderId="5" xfId="0" applyFont="1" applyFill="1" applyBorder="1" applyAlignment="1" applyProtection="1">
      <alignment horizontal="left" wrapText="1"/>
      <protection hidden="1"/>
    </xf>
    <xf numFmtId="0" fontId="5" fillId="7" borderId="0" xfId="0" applyFont="1" applyFill="1" applyBorder="1" applyAlignment="1" applyProtection="1">
      <alignment horizontal="left" wrapText="1"/>
      <protection hidden="1"/>
    </xf>
    <xf numFmtId="49" fontId="0" fillId="7" borderId="5" xfId="0" applyNumberFormat="1" applyFill="1" applyBorder="1" applyAlignment="1" applyProtection="1">
      <alignment wrapText="1"/>
      <protection hidden="1"/>
    </xf>
    <xf numFmtId="0" fontId="2" fillId="7" borderId="0" xfId="0" applyFont="1" applyFill="1" applyAlignment="1" applyProtection="1">
      <alignment horizontal="right" wrapText="1"/>
      <protection hidden="1"/>
    </xf>
    <xf numFmtId="0" fontId="2" fillId="7" borderId="0" xfId="0" applyFont="1" applyFill="1" applyAlignment="1" applyProtection="1">
      <alignment horizontal="right"/>
      <protection hidden="1"/>
    </xf>
    <xf numFmtId="0" fontId="0" fillId="7" borderId="0" xfId="0" applyFill="1" applyAlignment="1" applyProtection="1">
      <alignment horizontal="right"/>
      <protection hidden="1"/>
    </xf>
    <xf numFmtId="0" fontId="3" fillId="7" borderId="0" xfId="0" applyFont="1" applyFill="1" applyAlignment="1" applyProtection="1">
      <alignment horizontal="center" vertical="center" wrapText="1"/>
      <protection hidden="1"/>
    </xf>
    <xf numFmtId="0" fontId="25" fillId="7" borderId="0" xfId="0" applyFont="1" applyFill="1" applyAlignment="1" applyProtection="1">
      <alignment wrapText="1"/>
      <protection hidden="1"/>
    </xf>
    <xf numFmtId="0" fontId="3" fillId="7" borderId="0" xfId="0" applyFont="1" applyFill="1" applyBorder="1" applyAlignment="1" applyProtection="1">
      <alignment horizontal="center" wrapText="1"/>
      <protection hidden="1"/>
    </xf>
    <xf numFmtId="0" fontId="25" fillId="7" borderId="5" xfId="0" applyFont="1" applyFill="1" applyBorder="1" applyAlignment="1" applyProtection="1">
      <alignment wrapText="1"/>
      <protection hidden="1"/>
    </xf>
    <xf numFmtId="0" fontId="5" fillId="7" borderId="81" xfId="0" applyFont="1" applyFill="1" applyBorder="1" applyAlignment="1" applyProtection="1">
      <alignment horizontal="center" wrapText="1"/>
      <protection hidden="1"/>
    </xf>
    <xf numFmtId="0" fontId="5" fillId="0" borderId="81" xfId="0" applyFont="1" applyBorder="1" applyAlignment="1" applyProtection="1">
      <alignment horizontal="center" wrapText="1"/>
      <protection hidden="1"/>
    </xf>
    <xf numFmtId="0" fontId="5" fillId="0" borderId="5" xfId="0" applyFont="1" applyBorder="1" applyAlignment="1" applyProtection="1">
      <alignment horizontal="center" wrapText="1"/>
      <protection hidden="1"/>
    </xf>
    <xf numFmtId="0" fontId="8" fillId="7" borderId="81" xfId="0" applyFont="1" applyFill="1" applyBorder="1" applyAlignment="1" applyProtection="1">
      <alignment horizontal="right" wrapText="1"/>
      <protection hidden="1"/>
    </xf>
    <xf numFmtId="0" fontId="2" fillId="7" borderId="0" xfId="0" applyFont="1" applyFill="1" applyAlignment="1" applyProtection="1">
      <protection hidden="1"/>
    </xf>
    <xf numFmtId="189" fontId="2" fillId="7" borderId="5" xfId="0" applyNumberFormat="1" applyFont="1" applyFill="1" applyBorder="1" applyAlignment="1" applyProtection="1">
      <alignment horizontal="center"/>
      <protection hidden="1"/>
    </xf>
    <xf numFmtId="168" fontId="1" fillId="7" borderId="0" xfId="0" applyNumberFormat="1" applyFont="1" applyFill="1" applyBorder="1" applyAlignment="1" applyProtection="1">
      <alignment horizontal="center" wrapText="1"/>
      <protection hidden="1"/>
    </xf>
    <xf numFmtId="0" fontId="2" fillId="7" borderId="5" xfId="0" applyFont="1" applyFill="1" applyBorder="1" applyAlignment="1" applyProtection="1">
      <alignment horizontal="center" wrapText="1"/>
      <protection hidden="1"/>
    </xf>
    <xf numFmtId="0" fontId="0" fillId="7" borderId="0" xfId="0" applyFill="1" applyAlignment="1" applyProtection="1">
      <alignment horizontal="center"/>
      <protection hidden="1"/>
    </xf>
    <xf numFmtId="0" fontId="0" fillId="0" borderId="0" xfId="0" applyAlignment="1" applyProtection="1">
      <alignment horizontal="center"/>
      <protection hidden="1"/>
    </xf>
    <xf numFmtId="168" fontId="2" fillId="7" borderId="5" xfId="0" applyNumberFormat="1" applyFont="1" applyFill="1" applyBorder="1" applyAlignment="1" applyProtection="1">
      <alignment horizontal="center" wrapText="1"/>
      <protection hidden="1"/>
    </xf>
    <xf numFmtId="0" fontId="2" fillId="2" borderId="0" xfId="0" applyFont="1" applyFill="1" applyAlignment="1" applyProtection="1">
      <alignment vertical="top"/>
      <protection hidden="1"/>
    </xf>
    <xf numFmtId="0" fontId="0" fillId="7" borderId="0" xfId="0" applyFill="1" applyAlignment="1" applyProtection="1">
      <alignment horizontal="left" vertical="top"/>
      <protection hidden="1"/>
    </xf>
    <xf numFmtId="0" fontId="1" fillId="7" borderId="0" xfId="0" applyFont="1" applyFill="1" applyBorder="1" applyAlignment="1" applyProtection="1">
      <alignment horizontal="left" vertical="top"/>
      <protection hidden="1"/>
    </xf>
    <xf numFmtId="0" fontId="1" fillId="7" borderId="81" xfId="0" applyFont="1" applyFill="1" applyBorder="1" applyAlignment="1" applyProtection="1">
      <alignment wrapText="1"/>
      <protection hidden="1"/>
    </xf>
    <xf numFmtId="173" fontId="2" fillId="7" borderId="5" xfId="0" applyNumberFormat="1" applyFont="1" applyFill="1" applyBorder="1" applyAlignment="1" applyProtection="1">
      <alignment horizontal="center" wrapText="1"/>
      <protection hidden="1"/>
    </xf>
    <xf numFmtId="0" fontId="1" fillId="7" borderId="0" xfId="0" applyFont="1" applyFill="1" applyAlignment="1" applyProtection="1">
      <alignment horizontal="right" vertical="top" wrapText="1"/>
      <protection hidden="1"/>
    </xf>
    <xf numFmtId="180" fontId="2" fillId="7" borderId="5" xfId="0" applyNumberFormat="1" applyFont="1" applyFill="1" applyBorder="1" applyAlignment="1" applyProtection="1">
      <alignment horizontal="center" wrapText="1"/>
      <protection hidden="1"/>
    </xf>
    <xf numFmtId="0" fontId="1" fillId="7" borderId="0" xfId="0" applyFont="1" applyFill="1" applyBorder="1" applyAlignment="1" applyProtection="1">
      <alignment horizontal="left" wrapText="1"/>
      <protection hidden="1"/>
    </xf>
    <xf numFmtId="49" fontId="2" fillId="7" borderId="81" xfId="0" applyNumberFormat="1" applyFont="1" applyFill="1" applyBorder="1" applyAlignment="1" applyProtection="1">
      <alignment vertical="top" wrapText="1"/>
      <protection hidden="1"/>
    </xf>
    <xf numFmtId="0" fontId="0" fillId="7" borderId="5" xfId="0" applyFill="1" applyBorder="1" applyAlignment="1" applyProtection="1">
      <alignment vertical="top" wrapText="1"/>
      <protection hidden="1"/>
    </xf>
    <xf numFmtId="0" fontId="0" fillId="7" borderId="5" xfId="0" applyFill="1" applyBorder="1" applyAlignment="1" applyProtection="1">
      <alignment vertical="top"/>
      <protection hidden="1"/>
    </xf>
    <xf numFmtId="0" fontId="2" fillId="7" borderId="81" xfId="0" applyFont="1" applyFill="1" applyBorder="1" applyAlignment="1" applyProtection="1">
      <alignment vertical="top" wrapText="1"/>
      <protection hidden="1"/>
    </xf>
    <xf numFmtId="0" fontId="2" fillId="7" borderId="81" xfId="0" applyFont="1" applyFill="1" applyBorder="1" applyAlignment="1" applyProtection="1">
      <alignment wrapText="1"/>
      <protection hidden="1"/>
    </xf>
    <xf numFmtId="0" fontId="0" fillId="7" borderId="0" xfId="0" applyFill="1" applyBorder="1" applyAlignment="1" applyProtection="1">
      <alignment vertical="top" wrapText="1"/>
      <protection hidden="1"/>
    </xf>
    <xf numFmtId="0" fontId="0" fillId="7" borderId="0" xfId="0" applyFill="1" applyAlignment="1" applyProtection="1">
      <alignment vertical="top"/>
      <protection hidden="1"/>
    </xf>
    <xf numFmtId="49" fontId="1" fillId="7" borderId="0" xfId="0" applyNumberFormat="1" applyFont="1" applyFill="1" applyAlignment="1" applyProtection="1">
      <alignment vertical="top"/>
      <protection hidden="1"/>
    </xf>
    <xf numFmtId="14" fontId="0" fillId="7" borderId="0" xfId="0" applyNumberFormat="1" applyFill="1" applyBorder="1" applyAlignment="1" applyProtection="1">
      <alignment horizontal="center" vertical="top"/>
      <protection hidden="1"/>
    </xf>
    <xf numFmtId="0" fontId="0" fillId="7" borderId="0" xfId="0" applyFill="1" applyBorder="1" applyAlignment="1" applyProtection="1">
      <alignment vertical="top"/>
      <protection hidden="1"/>
    </xf>
    <xf numFmtId="0" fontId="0" fillId="0" borderId="0" xfId="0" applyAlignment="1" applyProtection="1">
      <alignment vertical="top" wrapText="1"/>
      <protection hidden="1"/>
    </xf>
    <xf numFmtId="49" fontId="1" fillId="7" borderId="0" xfId="0" applyNumberFormat="1" applyFont="1" applyFill="1" applyAlignment="1" applyProtection="1">
      <alignment vertical="top" wrapText="1"/>
      <protection hidden="1"/>
    </xf>
    <xf numFmtId="0" fontId="0" fillId="7" borderId="0" xfId="0" applyNumberFormat="1" applyFill="1" applyBorder="1" applyAlignment="1" applyProtection="1">
      <alignment horizontal="left" vertical="top" wrapText="1"/>
      <protection hidden="1"/>
    </xf>
    <xf numFmtId="0" fontId="2" fillId="0" borderId="29" xfId="0" applyFont="1" applyFill="1" applyBorder="1" applyAlignment="1" applyProtection="1">
      <alignment horizontal="center" vertical="top" wrapText="1"/>
      <protection hidden="1"/>
    </xf>
    <xf numFmtId="0" fontId="0" fillId="0" borderId="28" xfId="0" applyFill="1" applyBorder="1" applyAlignment="1" applyProtection="1">
      <alignment vertical="top" wrapText="1"/>
      <protection hidden="1"/>
    </xf>
    <xf numFmtId="0" fontId="0" fillId="0" borderId="27" xfId="0" applyFill="1" applyBorder="1" applyAlignment="1" applyProtection="1">
      <alignment vertical="top" wrapText="1"/>
      <protection hidden="1"/>
    </xf>
    <xf numFmtId="0" fontId="2" fillId="0" borderId="0" xfId="0" applyFont="1" applyAlignment="1" applyProtection="1">
      <alignment vertical="top"/>
      <protection hidden="1"/>
    </xf>
    <xf numFmtId="0" fontId="1" fillId="7" borderId="0" xfId="0" applyFont="1" applyFill="1" applyBorder="1" applyAlignment="1" applyProtection="1">
      <alignment horizontal="left" vertical="top" wrapText="1"/>
      <protection hidden="1"/>
    </xf>
    <xf numFmtId="0" fontId="0" fillId="0" borderId="0" xfId="0" applyBorder="1" applyAlignment="1" applyProtection="1">
      <alignment vertical="top" wrapText="1"/>
      <protection hidden="1"/>
    </xf>
    <xf numFmtId="0" fontId="0" fillId="0" borderId="0" xfId="0" applyBorder="1" applyAlignment="1" applyProtection="1">
      <alignment wrapText="1"/>
      <protection hidden="1"/>
    </xf>
    <xf numFmtId="0" fontId="1" fillId="7" borderId="0" xfId="0" applyNumberFormat="1" applyFont="1" applyFill="1" applyBorder="1" applyAlignment="1" applyProtection="1">
      <alignment horizontal="left" vertical="top"/>
      <protection hidden="1"/>
    </xf>
    <xf numFmtId="0" fontId="2" fillId="0" borderId="26" xfId="0" applyFont="1" applyFill="1" applyBorder="1" applyAlignment="1" applyProtection="1">
      <alignment horizontal="center" vertical="center" wrapText="1"/>
      <protection hidden="1"/>
    </xf>
    <xf numFmtId="0" fontId="0" fillId="0" borderId="26" xfId="0" applyFill="1" applyBorder="1" applyAlignment="1" applyProtection="1">
      <alignment wrapText="1"/>
      <protection hidden="1"/>
    </xf>
    <xf numFmtId="14" fontId="2" fillId="0" borderId="26" xfId="0" applyNumberFormat="1" applyFont="1" applyFill="1" applyBorder="1" applyAlignment="1" applyProtection="1">
      <alignment horizontal="center" vertical="center" wrapText="1"/>
      <protection hidden="1"/>
    </xf>
    <xf numFmtId="0" fontId="0" fillId="0" borderId="29" xfId="0" applyFill="1" applyBorder="1" applyAlignment="1" applyProtection="1">
      <alignment wrapText="1"/>
      <protection hidden="1"/>
    </xf>
    <xf numFmtId="174" fontId="2" fillId="7" borderId="5" xfId="0" applyNumberFormat="1" applyFont="1" applyFill="1" applyBorder="1" applyAlignment="1" applyProtection="1">
      <alignment horizontal="center" wrapText="1"/>
      <protection hidden="1"/>
    </xf>
    <xf numFmtId="186" fontId="2" fillId="7" borderId="5" xfId="0" applyNumberFormat="1" applyFont="1" applyFill="1" applyBorder="1" applyAlignment="1" applyProtection="1">
      <alignment horizontal="center" wrapText="1"/>
      <protection hidden="1"/>
    </xf>
    <xf numFmtId="0" fontId="0" fillId="7" borderId="5" xfId="0" applyFill="1" applyBorder="1" applyAlignment="1" applyProtection="1">
      <alignment horizontal="center" wrapText="1"/>
      <protection hidden="1"/>
    </xf>
    <xf numFmtId="0" fontId="2" fillId="7" borderId="0" xfId="0" applyFont="1" applyFill="1" applyAlignment="1" applyProtection="1">
      <alignment horizontal="left" wrapText="1"/>
      <protection hidden="1"/>
    </xf>
    <xf numFmtId="0" fontId="1" fillId="7" borderId="0" xfId="0" applyFont="1" applyFill="1" applyAlignment="1" applyProtection="1">
      <alignment horizontal="right" vertical="top"/>
      <protection hidden="1"/>
    </xf>
    <xf numFmtId="173" fontId="2" fillId="0" borderId="5" xfId="0" applyNumberFormat="1"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7" borderId="0" xfId="0" applyFont="1" applyFill="1" applyAlignment="1" applyProtection="1">
      <alignment vertical="top"/>
      <protection hidden="1"/>
    </xf>
    <xf numFmtId="49" fontId="0" fillId="7" borderId="0" xfId="0" applyNumberFormat="1" applyFill="1" applyAlignment="1" applyProtection="1">
      <alignment wrapText="1"/>
      <protection hidden="1"/>
    </xf>
    <xf numFmtId="186" fontId="2" fillId="7" borderId="5" xfId="0" applyNumberFormat="1" applyFont="1" applyFill="1" applyBorder="1" applyAlignment="1" applyProtection="1">
      <alignment horizontal="center"/>
      <protection hidden="1"/>
    </xf>
    <xf numFmtId="0" fontId="0" fillId="7" borderId="0" xfId="0" applyFill="1" applyAlignment="1" applyProtection="1">
      <alignment horizontal="left"/>
      <protection hidden="1"/>
    </xf>
    <xf numFmtId="183" fontId="2" fillId="7" borderId="5" xfId="0" applyNumberFormat="1" applyFont="1" applyFill="1" applyBorder="1" applyAlignment="1" applyProtection="1">
      <alignment horizontal="center" wrapText="1"/>
      <protection hidden="1"/>
    </xf>
    <xf numFmtId="183" fontId="0" fillId="7" borderId="5" xfId="0" applyNumberFormat="1" applyFill="1" applyBorder="1" applyAlignment="1" applyProtection="1">
      <alignment horizontal="center" wrapText="1"/>
      <protection hidden="1"/>
    </xf>
    <xf numFmtId="180" fontId="2" fillId="7" borderId="5" xfId="0" applyNumberFormat="1" applyFont="1" applyFill="1" applyBorder="1" applyAlignment="1" applyProtection="1">
      <alignment horizontal="center" vertical="top"/>
      <protection hidden="1"/>
    </xf>
    <xf numFmtId="180" fontId="0" fillId="7" borderId="5" xfId="0" applyNumberFormat="1" applyFill="1" applyBorder="1" applyAlignment="1" applyProtection="1">
      <protection hidden="1"/>
    </xf>
    <xf numFmtId="180" fontId="2" fillId="7" borderId="5" xfId="0" applyNumberFormat="1" applyFont="1" applyFill="1" applyBorder="1" applyAlignment="1" applyProtection="1">
      <alignment horizontal="center"/>
      <protection hidden="1"/>
    </xf>
    <xf numFmtId="0" fontId="21" fillId="7" borderId="0" xfId="0" applyFont="1" applyFill="1" applyAlignment="1" applyProtection="1">
      <alignment horizontal="left" vertical="top"/>
      <protection hidden="1"/>
    </xf>
    <xf numFmtId="0" fontId="21" fillId="0" borderId="0" xfId="0" applyFont="1" applyAlignment="1" applyProtection="1">
      <protection hidden="1"/>
    </xf>
    <xf numFmtId="49" fontId="2" fillId="7" borderId="0" xfId="0" applyNumberFormat="1" applyFont="1" applyFill="1" applyAlignment="1" applyProtection="1">
      <alignment vertical="top" wrapText="1"/>
      <protection hidden="1"/>
    </xf>
    <xf numFmtId="0" fontId="2" fillId="7" borderId="0" xfId="0" applyFont="1" applyFill="1" applyAlignment="1" applyProtection="1">
      <alignment horizontal="left" vertical="top" wrapText="1"/>
      <protection hidden="1"/>
    </xf>
    <xf numFmtId="9" fontId="2" fillId="7" borderId="5" xfId="0" applyNumberFormat="1" applyFont="1" applyFill="1" applyBorder="1" applyAlignment="1" applyProtection="1">
      <alignment horizontal="center" vertical="top" wrapText="1"/>
      <protection hidden="1"/>
    </xf>
    <xf numFmtId="0" fontId="2" fillId="7" borderId="5" xfId="0" applyFont="1" applyFill="1" applyBorder="1" applyAlignment="1" applyProtection="1">
      <alignment vertical="top" wrapText="1"/>
      <protection hidden="1"/>
    </xf>
    <xf numFmtId="0" fontId="0" fillId="7" borderId="0" xfId="0" applyFill="1" applyAlignment="1" applyProtection="1">
      <alignment horizontal="right" vertical="top" wrapText="1"/>
      <protection hidden="1"/>
    </xf>
    <xf numFmtId="0" fontId="1" fillId="2" borderId="0" xfId="0" applyFont="1" applyFill="1" applyAlignment="1" applyProtection="1">
      <alignment horizontal="left" vertical="top"/>
      <protection hidden="1"/>
    </xf>
    <xf numFmtId="0" fontId="0" fillId="0" borderId="0" xfId="0" applyAlignment="1">
      <alignment horizontal="left" vertical="top"/>
    </xf>
    <xf numFmtId="0" fontId="1" fillId="7" borderId="29" xfId="0" applyNumberFormat="1" applyFont="1" applyFill="1" applyBorder="1" applyAlignment="1" applyProtection="1">
      <alignment horizontal="center" vertical="top"/>
      <protection hidden="1"/>
    </xf>
    <xf numFmtId="0" fontId="1" fillId="7" borderId="27" xfId="0" applyNumberFormat="1" applyFont="1" applyFill="1" applyBorder="1" applyAlignment="1" applyProtection="1">
      <alignment horizontal="center" vertical="top"/>
      <protection hidden="1"/>
    </xf>
    <xf numFmtId="0" fontId="0" fillId="7" borderId="0" xfId="0" applyFill="1" applyAlignment="1">
      <alignment vertical="top" wrapText="1"/>
    </xf>
    <xf numFmtId="0" fontId="2" fillId="7" borderId="31" xfId="0" applyFont="1" applyFill="1" applyBorder="1" applyAlignment="1" applyProtection="1">
      <alignment horizontal="center" vertical="center" wrapText="1"/>
      <protection hidden="1"/>
    </xf>
    <xf numFmtId="0" fontId="2" fillId="7" borderId="81" xfId="0" applyFont="1" applyFill="1" applyBorder="1" applyAlignment="1" applyProtection="1">
      <alignment horizontal="center" vertical="center" wrapText="1"/>
      <protection hidden="1"/>
    </xf>
    <xf numFmtId="0" fontId="1" fillId="7" borderId="81" xfId="0" applyFont="1" applyFill="1" applyBorder="1" applyAlignment="1" applyProtection="1">
      <alignment horizontal="center" vertical="center" wrapText="1"/>
      <protection hidden="1"/>
    </xf>
    <xf numFmtId="0" fontId="1" fillId="7" borderId="82" xfId="0" applyFont="1" applyFill="1" applyBorder="1" applyAlignment="1" applyProtection="1">
      <alignment horizontal="center" vertical="center" wrapText="1"/>
      <protection hidden="1"/>
    </xf>
    <xf numFmtId="0" fontId="1" fillId="7" borderId="4"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1" xfId="0" applyFont="1" applyFill="1" applyBorder="1" applyAlignment="1" applyProtection="1">
      <alignment horizontal="center" vertical="center" wrapText="1"/>
      <protection hidden="1"/>
    </xf>
    <xf numFmtId="0" fontId="1" fillId="7" borderId="0" xfId="0" applyFont="1" applyFill="1" applyBorder="1" applyAlignment="1" applyProtection="1">
      <alignment vertical="top" wrapText="1"/>
      <protection hidden="1"/>
    </xf>
    <xf numFmtId="14" fontId="1" fillId="7" borderId="29" xfId="0" applyNumberFormat="1" applyFont="1" applyFill="1" applyBorder="1" applyAlignment="1" applyProtection="1">
      <alignment horizontal="center" vertical="top"/>
      <protection hidden="1"/>
    </xf>
    <xf numFmtId="0" fontId="0" fillId="7" borderId="27" xfId="0" applyFill="1" applyBorder="1" applyAlignment="1" applyProtection="1">
      <alignment horizontal="center" vertical="top"/>
      <protection hidden="1"/>
    </xf>
    <xf numFmtId="1" fontId="2" fillId="7" borderId="4" xfId="0" applyNumberFormat="1" applyFont="1" applyFill="1" applyBorder="1" applyAlignment="1" applyProtection="1">
      <alignment horizontal="center" vertical="top"/>
      <protection hidden="1"/>
    </xf>
    <xf numFmtId="0" fontId="0" fillId="7" borderId="1" xfId="0" applyFill="1" applyBorder="1" applyAlignment="1" applyProtection="1">
      <alignment horizontal="center" vertical="top"/>
      <protection hidden="1"/>
    </xf>
    <xf numFmtId="0" fontId="1" fillId="7" borderId="29" xfId="0" applyFont="1" applyFill="1" applyBorder="1" applyAlignment="1" applyProtection="1">
      <alignment horizontal="center" vertical="top"/>
      <protection hidden="1"/>
    </xf>
    <xf numFmtId="0" fontId="1" fillId="7" borderId="27" xfId="0" applyFont="1" applyFill="1" applyBorder="1" applyAlignment="1" applyProtection="1">
      <alignment horizontal="center" vertical="top"/>
      <protection hidden="1"/>
    </xf>
    <xf numFmtId="14" fontId="2" fillId="7" borderId="31" xfId="0" applyNumberFormat="1" applyFont="1" applyFill="1" applyBorder="1" applyAlignment="1" applyProtection="1">
      <alignment horizontal="center" vertical="center" wrapText="1"/>
      <protection hidden="1"/>
    </xf>
    <xf numFmtId="0" fontId="0" fillId="7" borderId="82" xfId="0" applyFill="1" applyBorder="1" applyAlignment="1" applyProtection="1">
      <alignment horizontal="center" vertical="center" wrapText="1"/>
      <protection hidden="1"/>
    </xf>
    <xf numFmtId="0" fontId="0" fillId="7" borderId="4" xfId="0" applyFill="1" applyBorder="1" applyAlignment="1" applyProtection="1">
      <alignment horizontal="center" vertical="center" wrapText="1"/>
      <protection hidden="1"/>
    </xf>
    <xf numFmtId="0" fontId="0" fillId="7" borderId="1" xfId="0" applyFill="1" applyBorder="1" applyAlignment="1" applyProtection="1">
      <alignment horizontal="center" vertical="center" wrapText="1"/>
      <protection hidden="1"/>
    </xf>
    <xf numFmtId="0" fontId="0" fillId="7" borderId="0" xfId="0" applyFill="1" applyAlignment="1">
      <alignment horizontal="left" vertical="top" wrapText="1"/>
    </xf>
    <xf numFmtId="0" fontId="2" fillId="7" borderId="5" xfId="0" applyFont="1" applyFill="1" applyBorder="1" applyAlignment="1" applyProtection="1">
      <alignment horizontal="center"/>
      <protection hidden="1"/>
    </xf>
    <xf numFmtId="189" fontId="2" fillId="7" borderId="5" xfId="0" applyNumberFormat="1" applyFont="1" applyFill="1" applyBorder="1" applyAlignment="1" applyProtection="1">
      <alignment horizontal="center" vertical="top"/>
      <protection hidden="1"/>
    </xf>
    <xf numFmtId="0" fontId="2" fillId="7" borderId="29" xfId="0" applyFont="1" applyFill="1" applyBorder="1" applyAlignment="1" applyProtection="1">
      <alignment horizontal="center" vertical="top" wrapText="1"/>
      <protection hidden="1"/>
    </xf>
    <xf numFmtId="0" fontId="0" fillId="7" borderId="28" xfId="0" applyFill="1" applyBorder="1" applyAlignment="1" applyProtection="1">
      <alignment vertical="top" wrapText="1"/>
      <protection hidden="1"/>
    </xf>
    <xf numFmtId="0" fontId="0" fillId="7" borderId="27" xfId="0" applyFill="1" applyBorder="1" applyAlignment="1" applyProtection="1">
      <alignment vertical="top" wrapText="1"/>
      <protection hidden="1"/>
    </xf>
    <xf numFmtId="0" fontId="2" fillId="7" borderId="0" xfId="0" applyFont="1" applyFill="1" applyAlignment="1" applyProtection="1">
      <alignment horizontal="left" vertical="top"/>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protection hidden="1"/>
    </xf>
    <xf numFmtId="0" fontId="0" fillId="0" borderId="0" xfId="0" applyAlignment="1">
      <alignment vertical="top"/>
    </xf>
    <xf numFmtId="0" fontId="1" fillId="0" borderId="0" xfId="0" applyFont="1" applyFill="1" applyAlignment="1" applyProtection="1">
      <alignment horizontal="left" vertical="top"/>
      <protection hidden="1"/>
    </xf>
    <xf numFmtId="0" fontId="0" fillId="0" borderId="0" xfId="0" applyFill="1" applyAlignment="1">
      <alignment horizontal="left" vertical="top"/>
    </xf>
    <xf numFmtId="189" fontId="2" fillId="7" borderId="5" xfId="0" applyNumberFormat="1" applyFont="1" applyFill="1" applyBorder="1" applyAlignment="1">
      <alignment horizontal="center"/>
    </xf>
    <xf numFmtId="174" fontId="2" fillId="7" borderId="5" xfId="0" applyNumberFormat="1" applyFont="1" applyFill="1" applyBorder="1" applyAlignment="1" applyProtection="1">
      <alignment horizontal="center" vertical="top"/>
      <protection hidden="1"/>
    </xf>
    <xf numFmtId="189" fontId="31" fillId="7" borderId="5" xfId="2" applyNumberFormat="1" applyFont="1" applyFill="1" applyBorder="1" applyAlignment="1" applyProtection="1">
      <alignment horizontal="center" vertical="top"/>
      <protection hidden="1"/>
    </xf>
    <xf numFmtId="189" fontId="32" fillId="7" borderId="5" xfId="0" applyNumberFormat="1" applyFont="1" applyFill="1" applyBorder="1" applyAlignment="1" applyProtection="1">
      <alignment horizontal="center" vertical="top"/>
      <protection hidden="1"/>
    </xf>
    <xf numFmtId="8" fontId="2" fillId="7" borderId="0" xfId="0" applyNumberFormat="1" applyFont="1" applyFill="1" applyAlignment="1" applyProtection="1">
      <alignment horizontal="right" vertical="top"/>
      <protection hidden="1"/>
    </xf>
    <xf numFmtId="43" fontId="2" fillId="7" borderId="0" xfId="0" applyNumberFormat="1" applyFont="1" applyFill="1" applyAlignment="1" applyProtection="1">
      <alignment horizontal="right" vertical="top"/>
      <protection hidden="1"/>
    </xf>
    <xf numFmtId="0" fontId="2" fillId="7" borderId="0" xfId="0" applyFont="1" applyFill="1" applyBorder="1" applyAlignment="1" applyProtection="1">
      <alignment vertical="top"/>
      <protection hidden="1"/>
    </xf>
    <xf numFmtId="0" fontId="1" fillId="7" borderId="0" xfId="0" applyFont="1" applyFill="1" applyBorder="1" applyAlignment="1" applyProtection="1">
      <alignment vertical="top"/>
      <protection hidden="1"/>
    </xf>
    <xf numFmtId="0" fontId="1" fillId="7" borderId="0" xfId="0" applyFont="1" applyFill="1" applyAlignment="1" applyProtection="1">
      <alignment horizontal="left" vertical="top"/>
      <protection hidden="1"/>
    </xf>
    <xf numFmtId="49" fontId="2" fillId="2" borderId="81" xfId="0" applyNumberFormat="1" applyFont="1" applyFill="1" applyBorder="1" applyAlignment="1" applyProtection="1">
      <alignment vertical="top" wrapText="1"/>
      <protection hidden="1"/>
    </xf>
    <xf numFmtId="0" fontId="1" fillId="2" borderId="5" xfId="0" applyFont="1" applyFill="1" applyBorder="1" applyAlignment="1" applyProtection="1">
      <alignment vertical="top"/>
      <protection hidden="1"/>
    </xf>
    <xf numFmtId="0" fontId="0" fillId="0" borderId="5" xfId="0" applyBorder="1" applyAlignment="1">
      <alignment vertical="top"/>
    </xf>
    <xf numFmtId="44" fontId="2" fillId="7" borderId="0" xfId="0" applyNumberFormat="1" applyFont="1" applyFill="1" applyAlignment="1" applyProtection="1">
      <alignment horizontal="right" vertical="top"/>
      <protection hidden="1"/>
    </xf>
    <xf numFmtId="0" fontId="0" fillId="7" borderId="0" xfId="0" applyFill="1" applyAlignment="1">
      <alignment vertical="top"/>
    </xf>
    <xf numFmtId="9" fontId="1" fillId="7" borderId="5" xfId="0" applyNumberFormat="1" applyFont="1" applyFill="1" applyBorder="1" applyAlignment="1" applyProtection="1">
      <alignment horizontal="center" vertical="top"/>
      <protection hidden="1"/>
    </xf>
    <xf numFmtId="0" fontId="1" fillId="2" borderId="5" xfId="0" applyFont="1" applyFill="1" applyBorder="1" applyAlignment="1" applyProtection="1">
      <alignment horizontal="left" vertical="top"/>
      <protection hidden="1"/>
    </xf>
    <xf numFmtId="0" fontId="0" fillId="2" borderId="5" xfId="0" applyFill="1" applyBorder="1" applyAlignment="1" applyProtection="1">
      <protection hidden="1"/>
    </xf>
    <xf numFmtId="0" fontId="2" fillId="2" borderId="81" xfId="0" applyFont="1" applyFill="1" applyBorder="1" applyAlignment="1" applyProtection="1">
      <alignment vertical="top" wrapText="1"/>
      <protection hidden="1"/>
    </xf>
    <xf numFmtId="0" fontId="2" fillId="0" borderId="81" xfId="0" applyFont="1" applyBorder="1" applyAlignment="1">
      <alignment vertical="top" wrapText="1"/>
    </xf>
    <xf numFmtId="0" fontId="2" fillId="7" borderId="0" xfId="0" applyNumberFormat="1" applyFont="1" applyFill="1" applyBorder="1" applyAlignment="1" applyProtection="1">
      <alignment vertical="top"/>
      <protection hidden="1"/>
    </xf>
    <xf numFmtId="0" fontId="42" fillId="7" borderId="5" xfId="0" applyFont="1" applyFill="1" applyBorder="1" applyAlignment="1" applyProtection="1">
      <alignment horizontal="center" vertical="top" wrapText="1"/>
      <protection hidden="1"/>
    </xf>
    <xf numFmtId="168" fontId="1" fillId="2" borderId="5" xfId="0" applyNumberFormat="1" applyFont="1" applyFill="1" applyBorder="1" applyAlignment="1" applyProtection="1">
      <alignment horizontal="left" vertical="top" wrapText="1"/>
      <protection hidden="1"/>
    </xf>
    <xf numFmtId="0" fontId="1" fillId="7" borderId="0" xfId="0" applyFont="1" applyFill="1" applyAlignment="1">
      <alignment vertical="top" wrapText="1"/>
    </xf>
    <xf numFmtId="183" fontId="2" fillId="7" borderId="5" xfId="0" applyNumberFormat="1" applyFont="1" applyFill="1" applyBorder="1" applyAlignment="1" applyProtection="1">
      <alignment horizontal="center" vertical="top"/>
      <protection hidden="1"/>
    </xf>
    <xf numFmtId="0" fontId="2" fillId="7" borderId="0" xfId="0" applyFont="1" applyFill="1" applyAlignment="1">
      <alignment vertical="top"/>
    </xf>
    <xf numFmtId="0" fontId="1" fillId="7" borderId="0" xfId="0" applyNumberFormat="1" applyFont="1" applyFill="1" applyBorder="1" applyAlignment="1" applyProtection="1">
      <alignment vertical="top"/>
      <protection hidden="1"/>
    </xf>
    <xf numFmtId="183" fontId="0" fillId="7" borderId="5" xfId="0" applyNumberFormat="1" applyFill="1" applyBorder="1" applyAlignment="1" applyProtection="1">
      <alignment vertical="top"/>
      <protection hidden="1"/>
    </xf>
    <xf numFmtId="168" fontId="1" fillId="7" borderId="0" xfId="0" applyNumberFormat="1" applyFont="1" applyFill="1" applyBorder="1" applyAlignment="1" applyProtection="1">
      <alignment horizontal="left" vertical="top"/>
      <protection hidden="1"/>
    </xf>
    <xf numFmtId="0" fontId="1" fillId="2" borderId="0" xfId="0" applyNumberFormat="1" applyFont="1" applyFill="1" applyBorder="1" applyAlignment="1" applyProtection="1">
      <alignment vertical="top" wrapText="1"/>
      <protection hidden="1"/>
    </xf>
    <xf numFmtId="0" fontId="5" fillId="2" borderId="0" xfId="0" applyFont="1" applyFill="1" applyBorder="1" applyAlignment="1" applyProtection="1">
      <alignment horizontal="left" wrapText="1"/>
      <protection hidden="1"/>
    </xf>
    <xf numFmtId="0" fontId="0" fillId="0" borderId="0" xfId="0" applyAlignment="1">
      <alignment horizontal="left" wrapText="1"/>
    </xf>
    <xf numFmtId="0" fontId="0" fillId="0" borderId="5" xfId="0" applyBorder="1" applyAlignment="1">
      <alignment horizontal="left" wrapText="1"/>
    </xf>
    <xf numFmtId="0" fontId="8" fillId="2" borderId="81" xfId="0" applyFont="1" applyFill="1" applyBorder="1" applyAlignment="1" applyProtection="1">
      <alignment horizontal="right"/>
      <protection hidden="1"/>
    </xf>
    <xf numFmtId="0" fontId="0" fillId="7" borderId="1" xfId="0" applyFill="1" applyBorder="1" applyAlignment="1" applyProtection="1">
      <alignment vertical="top"/>
      <protection hidden="1"/>
    </xf>
    <xf numFmtId="189" fontId="2" fillId="7" borderId="5" xfId="2" applyNumberFormat="1" applyFont="1" applyFill="1" applyBorder="1" applyAlignment="1" applyProtection="1">
      <alignment horizontal="center" vertical="top"/>
      <protection hidden="1"/>
    </xf>
    <xf numFmtId="189" fontId="1" fillId="7" borderId="5" xfId="0" applyNumberFormat="1" applyFont="1" applyFill="1" applyBorder="1" applyAlignment="1" applyProtection="1">
      <alignment vertical="top"/>
      <protection hidden="1"/>
    </xf>
    <xf numFmtId="168" fontId="2" fillId="7" borderId="5" xfId="0" applyNumberFormat="1" applyFont="1" applyFill="1" applyBorder="1" applyAlignment="1" applyProtection="1">
      <alignment horizontal="center" vertical="top" wrapText="1"/>
      <protection hidden="1"/>
    </xf>
    <xf numFmtId="0" fontId="0" fillId="7" borderId="5" xfId="0" applyFill="1" applyBorder="1" applyAlignment="1" applyProtection="1">
      <alignment horizontal="center" vertical="top" wrapText="1"/>
      <protection hidden="1"/>
    </xf>
    <xf numFmtId="44" fontId="2" fillId="7" borderId="37" xfId="0" applyNumberFormat="1" applyFont="1" applyFill="1" applyBorder="1" applyAlignment="1" applyProtection="1">
      <alignment vertical="top"/>
      <protection hidden="1"/>
    </xf>
    <xf numFmtId="0" fontId="19" fillId="2" borderId="0" xfId="0" applyFont="1" applyFill="1" applyAlignment="1" applyProtection="1">
      <alignment horizontal="right" wrapText="1"/>
      <protection hidden="1"/>
    </xf>
    <xf numFmtId="0" fontId="19" fillId="2" borderId="0" xfId="0" applyFont="1" applyFill="1" applyAlignment="1" applyProtection="1">
      <protection hidden="1"/>
    </xf>
    <xf numFmtId="0" fontId="3" fillId="2" borderId="0" xfId="0" applyFont="1" applyFill="1" applyBorder="1" applyAlignment="1" applyProtection="1">
      <alignment horizontal="center" wrapText="1"/>
      <protection hidden="1"/>
    </xf>
    <xf numFmtId="0" fontId="25" fillId="2" borderId="0" xfId="0" applyFont="1" applyFill="1" applyBorder="1" applyAlignment="1" applyProtection="1">
      <alignment horizontal="center" wrapText="1"/>
      <protection hidden="1"/>
    </xf>
    <xf numFmtId="0" fontId="25" fillId="2" borderId="5" xfId="0" applyFont="1" applyFill="1" applyBorder="1" applyAlignment="1" applyProtection="1">
      <alignment horizontal="center" wrapText="1"/>
      <protection hidden="1"/>
    </xf>
    <xf numFmtId="0" fontId="5" fillId="0" borderId="81" xfId="0" applyNumberFormat="1" applyFont="1" applyBorder="1" applyAlignment="1" applyProtection="1">
      <alignment horizontal="center" wrapText="1"/>
      <protection hidden="1"/>
    </xf>
    <xf numFmtId="0" fontId="2" fillId="0" borderId="81" xfId="0" applyFont="1" applyBorder="1" applyAlignment="1" applyProtection="1">
      <alignment horizontal="center" wrapText="1"/>
      <protection hidden="1"/>
    </xf>
    <xf numFmtId="0" fontId="2" fillId="0" borderId="5" xfId="0" applyFont="1" applyBorder="1" applyAlignment="1" applyProtection="1">
      <alignment horizontal="center" wrapText="1"/>
      <protection hidden="1"/>
    </xf>
    <xf numFmtId="0" fontId="1" fillId="2" borderId="28" xfId="0" applyFont="1" applyFill="1" applyBorder="1" applyAlignment="1" applyProtection="1">
      <alignment vertical="top"/>
      <protection hidden="1"/>
    </xf>
    <xf numFmtId="0" fontId="2" fillId="2" borderId="0" xfId="0" applyFont="1" applyFill="1" applyBorder="1" applyAlignment="1" applyProtection="1">
      <alignment vertical="top" wrapText="1"/>
      <protection hidden="1"/>
    </xf>
    <xf numFmtId="0" fontId="1" fillId="2" borderId="5" xfId="0" applyFont="1" applyFill="1" applyBorder="1" applyAlignment="1" applyProtection="1">
      <alignment vertical="top" wrapText="1"/>
      <protection hidden="1"/>
    </xf>
    <xf numFmtId="0" fontId="0" fillId="2" borderId="5" xfId="0" applyFill="1" applyBorder="1" applyAlignment="1" applyProtection="1">
      <alignment vertical="top" wrapText="1"/>
      <protection hidden="1"/>
    </xf>
    <xf numFmtId="0" fontId="2" fillId="2" borderId="0" xfId="0" applyFont="1" applyFill="1" applyBorder="1" applyAlignment="1" applyProtection="1">
      <alignment horizontal="left" wrapText="1"/>
      <protection hidden="1"/>
    </xf>
    <xf numFmtId="0" fontId="1" fillId="0" borderId="0" xfId="0" applyFont="1" applyAlignment="1">
      <alignment wrapText="1"/>
    </xf>
    <xf numFmtId="0" fontId="8" fillId="2" borderId="5" xfId="0" applyFont="1" applyFill="1" applyBorder="1" applyAlignment="1" applyProtection="1">
      <alignment horizontal="right"/>
      <protection hidden="1"/>
    </xf>
    <xf numFmtId="0" fontId="0" fillId="2" borderId="0" xfId="0" applyFill="1" applyAlignment="1" applyProtection="1">
      <alignment vertical="top" wrapText="1"/>
      <protection hidden="1"/>
    </xf>
    <xf numFmtId="0" fontId="2" fillId="2" borderId="0" xfId="0" applyFont="1" applyFill="1" applyAlignment="1" applyProtection="1">
      <alignment vertical="top" wrapText="1"/>
      <protection hidden="1"/>
    </xf>
    <xf numFmtId="0" fontId="1" fillId="2" borderId="0" xfId="0" applyFont="1" applyFill="1" applyAlignment="1" applyProtection="1">
      <alignment vertical="top" wrapText="1"/>
      <protection hidden="1"/>
    </xf>
    <xf numFmtId="0" fontId="19" fillId="2" borderId="0" xfId="0" applyFont="1" applyFill="1" applyAlignment="1" applyProtection="1">
      <alignment horizontal="right"/>
      <protection hidden="1"/>
    </xf>
    <xf numFmtId="0" fontId="1" fillId="2" borderId="0" xfId="0" applyFont="1" applyFill="1" applyAlignment="1" applyProtection="1">
      <alignment vertical="center" wrapText="1"/>
      <protection hidden="1"/>
    </xf>
    <xf numFmtId="0" fontId="0" fillId="2" borderId="0" xfId="0" applyFill="1" applyAlignment="1" applyProtection="1">
      <alignment vertical="center" wrapText="1"/>
      <protection hidden="1"/>
    </xf>
    <xf numFmtId="0" fontId="3" fillId="2" borderId="0" xfId="0" applyFont="1" applyFill="1" applyAlignment="1" applyProtection="1">
      <alignment horizontal="center" vertical="center" wrapText="1"/>
      <protection hidden="1"/>
    </xf>
    <xf numFmtId="0" fontId="25" fillId="2" borderId="0" xfId="0" applyFont="1" applyFill="1" applyAlignment="1" applyProtection="1">
      <alignment wrapText="1"/>
      <protection hidden="1"/>
    </xf>
    <xf numFmtId="0" fontId="2" fillId="7" borderId="0" xfId="0" applyFont="1" applyFill="1" applyBorder="1" applyAlignment="1" applyProtection="1">
      <alignment horizontal="center" vertical="top"/>
      <protection hidden="1"/>
    </xf>
    <xf numFmtId="168" fontId="1" fillId="7" borderId="5" xfId="0" applyNumberFormat="1" applyFont="1" applyFill="1" applyBorder="1" applyAlignment="1" applyProtection="1">
      <alignment horizontal="left" vertical="top" wrapText="1"/>
      <protection hidden="1"/>
    </xf>
    <xf numFmtId="0" fontId="1" fillId="7" borderId="5" xfId="0" applyFont="1" applyFill="1" applyBorder="1" applyAlignment="1" applyProtection="1">
      <alignment vertical="top" wrapText="1"/>
      <protection hidden="1"/>
    </xf>
    <xf numFmtId="0" fontId="2" fillId="7" borderId="5" xfId="0" applyFont="1" applyFill="1" applyBorder="1" applyAlignment="1" applyProtection="1">
      <alignment horizontal="center" vertical="top"/>
      <protection hidden="1"/>
    </xf>
    <xf numFmtId="186" fontId="2" fillId="7" borderId="5" xfId="2" applyNumberFormat="1" applyFont="1" applyFill="1" applyBorder="1" applyAlignment="1" applyProtection="1">
      <alignment horizontal="center" vertical="top"/>
      <protection hidden="1"/>
    </xf>
    <xf numFmtId="186" fontId="0" fillId="7" borderId="5" xfId="0" applyNumberFormat="1" applyFill="1" applyBorder="1" applyAlignment="1" applyProtection="1">
      <alignment vertical="top"/>
      <protection hidden="1"/>
    </xf>
    <xf numFmtId="0" fontId="0" fillId="7" borderId="5" xfId="0" applyFill="1" applyBorder="1" applyAlignment="1"/>
    <xf numFmtId="173" fontId="2" fillId="7" borderId="5" xfId="0" applyNumberFormat="1" applyFont="1" applyFill="1" applyBorder="1" applyAlignment="1">
      <alignment horizontal="center"/>
    </xf>
    <xf numFmtId="189" fontId="1" fillId="7" borderId="5" xfId="0" applyNumberFormat="1" applyFont="1" applyFill="1" applyBorder="1" applyAlignment="1" applyProtection="1">
      <alignment horizontal="center" vertical="top"/>
      <protection hidden="1"/>
    </xf>
    <xf numFmtId="183" fontId="2" fillId="7" borderId="5" xfId="0" applyNumberFormat="1" applyFont="1" applyFill="1" applyBorder="1" applyAlignment="1">
      <alignment horizontal="center"/>
    </xf>
    <xf numFmtId="183" fontId="0" fillId="7" borderId="5" xfId="0" applyNumberFormat="1" applyFill="1" applyBorder="1" applyAlignment="1">
      <alignment horizontal="center"/>
    </xf>
    <xf numFmtId="0" fontId="1" fillId="7" borderId="0" xfId="0" applyFont="1" applyFill="1" applyBorder="1" applyAlignment="1" applyProtection="1">
      <alignment horizontal="center"/>
      <protection hidden="1"/>
    </xf>
    <xf numFmtId="0" fontId="1" fillId="7" borderId="28" xfId="0" applyFont="1" applyFill="1" applyBorder="1" applyAlignment="1" applyProtection="1">
      <alignment vertical="top"/>
      <protection hidden="1"/>
    </xf>
    <xf numFmtId="49" fontId="34" fillId="2" borderId="0" xfId="0" applyNumberFormat="1" applyFont="1" applyFill="1" applyAlignment="1" applyProtection="1">
      <alignment horizontal="center" vertical="center" wrapText="1"/>
      <protection hidden="1"/>
    </xf>
    <xf numFmtId="0" fontId="34" fillId="0" borderId="0" xfId="0" applyFont="1" applyAlignment="1">
      <alignment horizontal="center" vertical="center" wrapText="1"/>
    </xf>
    <xf numFmtId="0" fontId="10" fillId="2" borderId="0" xfId="0" applyFont="1" applyFill="1" applyAlignment="1" applyProtection="1">
      <alignment horizontal="left" vertical="top" wrapText="1"/>
      <protection hidden="1"/>
    </xf>
    <xf numFmtId="0" fontId="0" fillId="0" borderId="0" xfId="0" applyAlignment="1">
      <alignment horizontal="left" vertical="top" wrapText="1"/>
    </xf>
    <xf numFmtId="0" fontId="2" fillId="7" borderId="5" xfId="0" applyFont="1" applyFill="1" applyBorder="1" applyAlignment="1" applyProtection="1">
      <alignment horizontal="center" vertical="top" wrapText="1"/>
      <protection hidden="1"/>
    </xf>
    <xf numFmtId="173" fontId="2" fillId="7" borderId="5" xfId="0" applyNumberFormat="1" applyFont="1" applyFill="1" applyBorder="1" applyAlignment="1" applyProtection="1">
      <alignment horizontal="center" vertical="top" wrapText="1"/>
      <protection hidden="1"/>
    </xf>
    <xf numFmtId="182" fontId="2" fillId="7" borderId="5" xfId="0" applyNumberFormat="1" applyFont="1" applyFill="1" applyBorder="1" applyAlignment="1" applyProtection="1">
      <alignment horizontal="left" vertical="top" wrapText="1"/>
      <protection hidden="1"/>
    </xf>
    <xf numFmtId="12" fontId="2" fillId="7" borderId="5" xfId="0" applyNumberFormat="1" applyFont="1" applyFill="1" applyBorder="1" applyAlignment="1" applyProtection="1">
      <alignment horizontal="center" vertical="top"/>
      <protection hidden="1"/>
    </xf>
    <xf numFmtId="0" fontId="0" fillId="7" borderId="5" xfId="0" applyFill="1" applyBorder="1" applyAlignment="1">
      <alignment horizontal="center" vertical="top"/>
    </xf>
    <xf numFmtId="0" fontId="5" fillId="2" borderId="5" xfId="0" applyFont="1" applyFill="1" applyBorder="1" applyAlignment="1" applyProtection="1">
      <alignment wrapText="1"/>
      <protection hidden="1"/>
    </xf>
    <xf numFmtId="0" fontId="0" fillId="0" borderId="5" xfId="0" applyBorder="1" applyAlignment="1">
      <alignment wrapText="1"/>
    </xf>
    <xf numFmtId="0" fontId="10" fillId="2" borderId="0" xfId="0" applyFont="1" applyFill="1" applyBorder="1" applyAlignment="1" applyProtection="1">
      <alignment horizontal="center"/>
      <protection hidden="1"/>
    </xf>
    <xf numFmtId="0" fontId="10" fillId="0" borderId="0" xfId="0" applyFont="1" applyBorder="1" applyAlignment="1">
      <alignment horizontal="center"/>
    </xf>
    <xf numFmtId="0" fontId="10" fillId="2" borderId="0" xfId="0" applyFont="1" applyFill="1" applyAlignment="1" applyProtection="1">
      <alignment vertical="top" wrapText="1"/>
      <protection hidden="1"/>
    </xf>
    <xf numFmtId="0" fontId="1" fillId="2" borderId="0" xfId="0" applyFont="1" applyFill="1" applyBorder="1" applyAlignment="1" applyProtection="1">
      <alignment horizontal="center" vertical="top"/>
      <protection hidden="1"/>
    </xf>
    <xf numFmtId="0" fontId="0" fillId="2" borderId="0" xfId="0" applyFill="1" applyAlignment="1" applyProtection="1">
      <alignment horizontal="center" vertical="top"/>
      <protection hidden="1"/>
    </xf>
    <xf numFmtId="168" fontId="2" fillId="2" borderId="5" xfId="0" applyNumberFormat="1" applyFont="1" applyFill="1" applyBorder="1" applyAlignment="1" applyProtection="1">
      <alignment horizontal="center" vertical="top" wrapText="1"/>
      <protection hidden="1"/>
    </xf>
    <xf numFmtId="168" fontId="0" fillId="0" borderId="5" xfId="0" applyNumberFormat="1" applyBorder="1" applyAlignment="1">
      <alignment horizontal="center" vertical="top"/>
    </xf>
    <xf numFmtId="189" fontId="0" fillId="7" borderId="5" xfId="0" applyNumberFormat="1" applyFill="1" applyBorder="1" applyAlignment="1">
      <alignment horizontal="center" vertical="top"/>
    </xf>
    <xf numFmtId="0" fontId="0" fillId="7" borderId="0" xfId="0" applyFill="1" applyAlignment="1" applyProtection="1">
      <alignment horizontal="right" vertical="top"/>
      <protection hidden="1"/>
    </xf>
    <xf numFmtId="0" fontId="1" fillId="7" borderId="0" xfId="0" applyFont="1" applyFill="1" applyAlignment="1"/>
    <xf numFmtId="183" fontId="0" fillId="0" borderId="5" xfId="0" applyNumberFormat="1" applyBorder="1" applyAlignment="1"/>
    <xf numFmtId="49" fontId="2" fillId="7" borderId="0" xfId="0" applyNumberFormat="1" applyFont="1" applyFill="1" applyAlignment="1" applyProtection="1">
      <alignment vertical="top"/>
      <protection hidden="1"/>
    </xf>
    <xf numFmtId="189" fontId="1" fillId="2" borderId="0" xfId="0" applyNumberFormat="1" applyFont="1" applyFill="1" applyBorder="1" applyAlignment="1" applyProtection="1">
      <alignment horizontal="left"/>
      <protection hidden="1"/>
    </xf>
    <xf numFmtId="189" fontId="0" fillId="7" borderId="5" xfId="0" applyNumberFormat="1" applyFill="1" applyBorder="1" applyAlignment="1" applyProtection="1">
      <alignment horizontal="center"/>
      <protection hidden="1"/>
    </xf>
    <xf numFmtId="0" fontId="0" fillId="2" borderId="5" xfId="0" applyFill="1" applyBorder="1" applyAlignment="1" applyProtection="1">
      <alignment vertical="top"/>
      <protection hidden="1"/>
    </xf>
    <xf numFmtId="0" fontId="1" fillId="2" borderId="0" xfId="0" applyFont="1" applyFill="1" applyAlignment="1" applyProtection="1">
      <alignment vertical="top"/>
      <protection hidden="1"/>
    </xf>
    <xf numFmtId="186" fontId="2" fillId="2" borderId="5" xfId="2" applyNumberFormat="1" applyFont="1" applyFill="1" applyBorder="1" applyAlignment="1" applyProtection="1">
      <alignment horizontal="center" vertical="top"/>
      <protection hidden="1"/>
    </xf>
    <xf numFmtId="189" fontId="2" fillId="2" borderId="5" xfId="0" applyNumberFormat="1" applyFont="1" applyFill="1" applyBorder="1" applyAlignment="1" applyProtection="1">
      <alignment horizontal="center" vertical="top"/>
      <protection hidden="1"/>
    </xf>
    <xf numFmtId="189" fontId="2" fillId="0" borderId="5" xfId="0" applyNumberFormat="1" applyFont="1" applyBorder="1" applyAlignment="1">
      <alignment horizontal="center" vertical="top"/>
    </xf>
    <xf numFmtId="173" fontId="2" fillId="0" borderId="5" xfId="0" applyNumberFormat="1" applyFont="1" applyBorder="1" applyAlignment="1">
      <alignment horizontal="center" vertical="top"/>
    </xf>
    <xf numFmtId="173" fontId="2" fillId="0" borderId="5" xfId="0" applyNumberFormat="1" applyFont="1" applyBorder="1" applyAlignment="1"/>
    <xf numFmtId="0" fontId="0" fillId="0" borderId="0" xfId="0" applyAlignment="1">
      <alignment horizontal="center" vertical="top"/>
    </xf>
    <xf numFmtId="189" fontId="2" fillId="0" borderId="5" xfId="0" applyNumberFormat="1" applyFont="1" applyBorder="1" applyAlignment="1">
      <alignment horizontal="center"/>
    </xf>
    <xf numFmtId="0" fontId="2" fillId="7" borderId="5" xfId="0" applyFont="1" applyFill="1" applyBorder="1" applyAlignment="1" applyProtection="1">
      <alignment vertical="top"/>
      <protection hidden="1"/>
    </xf>
    <xf numFmtId="0" fontId="65" fillId="7" borderId="0" xfId="0" applyFont="1" applyFill="1" applyAlignment="1" applyProtection="1">
      <protection hidden="1"/>
    </xf>
    <xf numFmtId="0" fontId="64" fillId="7" borderId="0" xfId="0" applyFont="1" applyFill="1" applyAlignment="1" applyProtection="1">
      <protection hidden="1"/>
    </xf>
    <xf numFmtId="0" fontId="67" fillId="7" borderId="31" xfId="0" applyFont="1" applyFill="1" applyBorder="1" applyAlignment="1" applyProtection="1">
      <alignment horizontal="center" vertical="center"/>
      <protection hidden="1"/>
    </xf>
    <xf numFmtId="0" fontId="0" fillId="0" borderId="81" xfId="0" applyBorder="1" applyAlignment="1" applyProtection="1">
      <alignment horizontal="center" vertical="center"/>
      <protection hidden="1"/>
    </xf>
    <xf numFmtId="0" fontId="0" fillId="0" borderId="82"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2" fillId="7" borderId="0" xfId="0" applyFont="1" applyFill="1" applyAlignment="1" applyProtection="1">
      <alignment horizontal="center" vertical="center"/>
      <protection hidden="1"/>
    </xf>
    <xf numFmtId="0" fontId="52" fillId="7" borderId="0" xfId="0" applyFont="1" applyFill="1" applyAlignment="1" applyProtection="1">
      <alignment vertical="center"/>
      <protection hidden="1"/>
    </xf>
    <xf numFmtId="0" fontId="65" fillId="7" borderId="5" xfId="0" applyFont="1" applyFill="1" applyBorder="1" applyAlignment="1" applyProtection="1">
      <alignment vertical="center" wrapText="1"/>
      <protection hidden="1"/>
    </xf>
    <xf numFmtId="0" fontId="64" fillId="7" borderId="5" xfId="0" applyFont="1" applyFill="1" applyBorder="1" applyAlignment="1" applyProtection="1">
      <alignment vertical="center" wrapText="1"/>
      <protection hidden="1"/>
    </xf>
    <xf numFmtId="0" fontId="64" fillId="7" borderId="1" xfId="0" applyFont="1" applyFill="1" applyBorder="1" applyAlignment="1" applyProtection="1">
      <alignment wrapText="1"/>
      <protection hidden="1"/>
    </xf>
    <xf numFmtId="0" fontId="65" fillId="7" borderId="5" xfId="0" applyFont="1" applyFill="1" applyBorder="1" applyAlignment="1" applyProtection="1">
      <protection hidden="1"/>
    </xf>
    <xf numFmtId="0" fontId="64" fillId="0" borderId="0" xfId="0" applyFont="1" applyAlignment="1" applyProtection="1">
      <protection hidden="1"/>
    </xf>
    <xf numFmtId="0" fontId="65" fillId="7" borderId="5" xfId="0" applyFont="1" applyFill="1" applyBorder="1" applyAlignment="1" applyProtection="1">
      <alignment horizontal="center"/>
      <protection hidden="1"/>
    </xf>
    <xf numFmtId="0" fontId="64" fillId="0" borderId="5" xfId="0" applyFont="1" applyBorder="1" applyAlignment="1" applyProtection="1">
      <protection hidden="1"/>
    </xf>
    <xf numFmtId="0" fontId="65" fillId="7" borderId="28" xfId="0" applyFont="1" applyFill="1" applyBorder="1" applyAlignment="1" applyProtection="1">
      <protection hidden="1"/>
    </xf>
    <xf numFmtId="14" fontId="2" fillId="7" borderId="5" xfId="0" applyNumberFormat="1" applyFont="1" applyFill="1" applyBorder="1" applyAlignment="1" applyProtection="1">
      <alignment horizontal="center"/>
      <protection hidden="1"/>
    </xf>
    <xf numFmtId="0" fontId="65" fillId="7" borderId="28" xfId="0" applyFont="1" applyFill="1" applyBorder="1" applyAlignment="1" applyProtection="1">
      <alignment horizontal="center"/>
      <protection hidden="1"/>
    </xf>
    <xf numFmtId="0" fontId="64" fillId="7" borderId="81" xfId="0" applyFont="1" applyFill="1" applyBorder="1" applyAlignment="1" applyProtection="1">
      <alignment vertical="top"/>
      <protection hidden="1"/>
    </xf>
    <xf numFmtId="178" fontId="65" fillId="7" borderId="5" xfId="0" applyNumberFormat="1" applyFont="1" applyFill="1" applyBorder="1" applyAlignment="1" applyProtection="1">
      <alignment horizontal="left"/>
      <protection hidden="1"/>
    </xf>
    <xf numFmtId="0" fontId="65" fillId="7" borderId="5" xfId="0" applyFont="1" applyFill="1" applyBorder="1" applyAlignment="1" applyProtection="1">
      <alignment vertical="top"/>
      <protection hidden="1"/>
    </xf>
    <xf numFmtId="14" fontId="65" fillId="7" borderId="5" xfId="0" applyNumberFormat="1" applyFont="1" applyFill="1" applyBorder="1" applyAlignment="1" applyProtection="1">
      <alignment horizontal="left"/>
      <protection hidden="1"/>
    </xf>
    <xf numFmtId="0" fontId="65" fillId="7" borderId="81" xfId="0" applyFont="1" applyFill="1" applyBorder="1" applyAlignment="1" applyProtection="1">
      <protection hidden="1"/>
    </xf>
    <xf numFmtId="0" fontId="64" fillId="7" borderId="81" xfId="0" applyFont="1" applyFill="1" applyBorder="1" applyAlignment="1" applyProtection="1">
      <protection hidden="1"/>
    </xf>
    <xf numFmtId="0" fontId="65" fillId="7" borderId="5" xfId="0" applyFont="1" applyFill="1" applyBorder="1" applyAlignment="1" applyProtection="1">
      <alignment horizontal="left"/>
      <protection hidden="1"/>
    </xf>
    <xf numFmtId="168" fontId="65" fillId="7" borderId="5" xfId="0" applyNumberFormat="1" applyFont="1" applyFill="1" applyBorder="1" applyAlignment="1" applyProtection="1">
      <alignment horizontal="left"/>
      <protection hidden="1"/>
    </xf>
    <xf numFmtId="0" fontId="64" fillId="7" borderId="0" xfId="0" applyFont="1" applyFill="1" applyAlignment="1" applyProtection="1">
      <alignment vertical="top" wrapText="1"/>
      <protection hidden="1"/>
    </xf>
    <xf numFmtId="44" fontId="65" fillId="7" borderId="5" xfId="0" applyNumberFormat="1" applyFont="1" applyFill="1" applyBorder="1" applyAlignment="1" applyProtection="1">
      <protection hidden="1"/>
    </xf>
    <xf numFmtId="0" fontId="64" fillId="7" borderId="5" xfId="0" applyFont="1" applyFill="1" applyBorder="1" applyAlignment="1" applyProtection="1">
      <protection hidden="1"/>
    </xf>
    <xf numFmtId="0" fontId="64" fillId="7" borderId="5" xfId="0" applyFont="1" applyFill="1" applyBorder="1" applyAlignment="1" applyProtection="1">
      <alignment horizontal="center"/>
      <protection hidden="1"/>
    </xf>
    <xf numFmtId="0" fontId="64" fillId="7" borderId="28" xfId="0" applyFont="1" applyFill="1" applyBorder="1" applyAlignment="1" applyProtection="1">
      <alignment horizontal="center"/>
      <protection hidden="1"/>
    </xf>
    <xf numFmtId="44" fontId="65" fillId="7" borderId="5" xfId="0" applyNumberFormat="1" applyFont="1" applyFill="1" applyBorder="1" applyAlignment="1" applyProtection="1">
      <alignment horizontal="center"/>
      <protection hidden="1"/>
    </xf>
    <xf numFmtId="0" fontId="51" fillId="7" borderId="0" xfId="0" applyFont="1" applyFill="1" applyAlignment="1" applyProtection="1">
      <alignment horizontal="center"/>
      <protection hidden="1"/>
    </xf>
    <xf numFmtId="0" fontId="1" fillId="0" borderId="5" xfId="0" applyFont="1" applyBorder="1" applyAlignment="1" applyProtection="1">
      <alignment horizontal="left"/>
      <protection hidden="1"/>
    </xf>
    <xf numFmtId="0" fontId="64" fillId="7" borderId="0" xfId="0" applyFont="1" applyFill="1" applyBorder="1" applyAlignment="1" applyProtection="1">
      <alignment horizontal="right"/>
      <protection hidden="1"/>
    </xf>
    <xf numFmtId="0" fontId="64" fillId="7" borderId="0" xfId="0" applyFont="1" applyFill="1" applyAlignment="1" applyProtection="1">
      <alignment horizontal="right"/>
      <protection hidden="1"/>
    </xf>
    <xf numFmtId="0" fontId="62" fillId="7" borderId="0" xfId="0" applyFont="1" applyFill="1" applyAlignment="1" applyProtection="1">
      <alignment wrapText="1"/>
      <protection hidden="1"/>
    </xf>
    <xf numFmtId="0" fontId="51" fillId="7" borderId="0" xfId="0" applyFont="1" applyFill="1" applyAlignment="1" applyProtection="1">
      <alignment vertical="top" wrapText="1"/>
      <protection hidden="1"/>
    </xf>
    <xf numFmtId="0" fontId="1" fillId="0" borderId="0" xfId="0" applyFont="1" applyAlignment="1" applyProtection="1">
      <alignment vertical="top" wrapText="1"/>
      <protection hidden="1"/>
    </xf>
    <xf numFmtId="44" fontId="64" fillId="7" borderId="5" xfId="0" applyNumberFormat="1" applyFont="1" applyFill="1" applyBorder="1" applyAlignment="1" applyProtection="1">
      <protection hidden="1"/>
    </xf>
    <xf numFmtId="44" fontId="64" fillId="7" borderId="0" xfId="0" applyNumberFormat="1" applyFont="1" applyFill="1" applyAlignment="1" applyProtection="1">
      <protection hidden="1"/>
    </xf>
    <xf numFmtId="0" fontId="51" fillId="7" borderId="0" xfId="3" applyFont="1" applyFill="1" applyAlignment="1" applyProtection="1">
      <alignment vertical="top" wrapText="1"/>
      <protection hidden="1"/>
    </xf>
    <xf numFmtId="0" fontId="64" fillId="0" borderId="0" xfId="0" applyFont="1" applyAlignment="1" applyProtection="1">
      <alignment vertical="top" wrapText="1"/>
      <protection hidden="1"/>
    </xf>
    <xf numFmtId="0" fontId="64" fillId="7" borderId="82" xfId="0" applyFont="1" applyFill="1" applyBorder="1" applyAlignment="1" applyProtection="1">
      <protection hidden="1"/>
    </xf>
    <xf numFmtId="0" fontId="64" fillId="7" borderId="3" xfId="0" applyFont="1" applyFill="1" applyBorder="1" applyAlignment="1" applyProtection="1">
      <protection hidden="1"/>
    </xf>
    <xf numFmtId="0" fontId="65" fillId="7" borderId="0" xfId="0" applyFont="1" applyFill="1" applyAlignment="1" applyProtection="1">
      <alignment horizontal="center"/>
      <protection hidden="1"/>
    </xf>
    <xf numFmtId="0" fontId="64" fillId="7" borderId="5" xfId="0" applyFont="1" applyFill="1" applyBorder="1" applyAlignment="1" applyProtection="1">
      <alignment vertical="top" wrapText="1"/>
      <protection hidden="1"/>
    </xf>
    <xf numFmtId="0" fontId="64" fillId="7" borderId="2" xfId="0" applyFont="1" applyFill="1" applyBorder="1" applyAlignment="1" applyProtection="1">
      <alignment vertical="center"/>
      <protection hidden="1"/>
    </xf>
    <xf numFmtId="0" fontId="64" fillId="7" borderId="0" xfId="0" applyFont="1" applyFill="1" applyAlignment="1" applyProtection="1">
      <alignment vertical="center"/>
      <protection hidden="1"/>
    </xf>
    <xf numFmtId="0" fontId="65" fillId="7" borderId="81" xfId="0" applyFont="1" applyFill="1" applyBorder="1" applyAlignment="1" applyProtection="1">
      <alignment vertical="top" wrapText="1"/>
      <protection hidden="1"/>
    </xf>
    <xf numFmtId="0" fontId="65" fillId="7" borderId="0" xfId="0" applyFont="1" applyFill="1" applyAlignment="1" applyProtection="1">
      <alignment vertical="center" wrapText="1"/>
      <protection hidden="1"/>
    </xf>
    <xf numFmtId="0" fontId="65" fillId="7" borderId="0" xfId="0" applyFont="1" applyFill="1" applyAlignment="1" applyProtection="1">
      <alignment wrapText="1"/>
      <protection hidden="1"/>
    </xf>
    <xf numFmtId="0" fontId="65" fillId="7" borderId="0" xfId="0" applyFont="1" applyFill="1" applyAlignment="1" applyProtection="1">
      <alignment vertical="top" wrapText="1"/>
      <protection hidden="1"/>
    </xf>
    <xf numFmtId="168" fontId="65" fillId="7" borderId="28" xfId="0" applyNumberFormat="1" applyFont="1" applyFill="1" applyBorder="1" applyAlignment="1" applyProtection="1">
      <alignment horizontal="left"/>
      <protection hidden="1"/>
    </xf>
    <xf numFmtId="0" fontId="64" fillId="7" borderId="0" xfId="0" applyFont="1" applyFill="1" applyAlignment="1" applyProtection="1">
      <alignment horizontal="left" vertical="top" wrapText="1"/>
      <protection hidden="1"/>
    </xf>
    <xf numFmtId="0" fontId="64" fillId="0" borderId="2" xfId="0" applyFont="1" applyBorder="1" applyAlignment="1" applyProtection="1">
      <alignment wrapText="1"/>
      <protection hidden="1"/>
    </xf>
    <xf numFmtId="0" fontId="64" fillId="0" borderId="0" xfId="0" applyFont="1" applyAlignment="1" applyProtection="1">
      <alignment wrapText="1"/>
      <protection hidden="1"/>
    </xf>
    <xf numFmtId="0" fontId="64" fillId="0" borderId="5" xfId="0" applyFont="1" applyBorder="1" applyAlignment="1" applyProtection="1">
      <alignment vertical="top" wrapText="1"/>
      <protection hidden="1"/>
    </xf>
    <xf numFmtId="0" fontId="64" fillId="7" borderId="0" xfId="0" applyFont="1" applyFill="1" applyAlignment="1" applyProtection="1">
      <alignment wrapText="1"/>
      <protection hidden="1"/>
    </xf>
    <xf numFmtId="0" fontId="64" fillId="0" borderId="0" xfId="0" applyFont="1" applyAlignment="1" applyProtection="1">
      <alignment vertical="center" wrapText="1"/>
      <protection hidden="1"/>
    </xf>
    <xf numFmtId="0" fontId="65" fillId="7" borderId="5" xfId="0" applyFont="1" applyFill="1" applyBorder="1" applyAlignment="1" applyProtection="1">
      <alignment vertical="center"/>
      <protection hidden="1"/>
    </xf>
    <xf numFmtId="0" fontId="64" fillId="7" borderId="81" xfId="0" applyFont="1" applyFill="1" applyBorder="1" applyAlignment="1" applyProtection="1">
      <alignment vertical="center" wrapText="1"/>
      <protection hidden="1"/>
    </xf>
    <xf numFmtId="0" fontId="65" fillId="7" borderId="81" xfId="0" applyFont="1" applyFill="1" applyBorder="1" applyAlignment="1" applyProtection="1">
      <alignment vertical="center" wrapText="1"/>
      <protection hidden="1"/>
    </xf>
    <xf numFmtId="0" fontId="65" fillId="7" borderId="82" xfId="0" applyFont="1" applyFill="1" applyBorder="1" applyAlignment="1" applyProtection="1">
      <alignment vertical="center" wrapText="1"/>
      <protection hidden="1"/>
    </xf>
    <xf numFmtId="0" fontId="64" fillId="7" borderId="2" xfId="0" applyFont="1" applyFill="1" applyBorder="1" applyAlignment="1" applyProtection="1">
      <protection hidden="1"/>
    </xf>
    <xf numFmtId="0" fontId="64" fillId="7" borderId="0" xfId="0" applyFont="1" applyFill="1" applyAlignment="1" applyProtection="1">
      <alignment vertical="center" wrapText="1"/>
      <protection hidden="1"/>
    </xf>
    <xf numFmtId="0" fontId="64" fillId="7" borderId="28" xfId="0" applyFont="1" applyFill="1" applyBorder="1" applyAlignment="1" applyProtection="1">
      <protection hidden="1"/>
    </xf>
    <xf numFmtId="0" fontId="64" fillId="7" borderId="81" xfId="0" applyFont="1" applyFill="1" applyBorder="1" applyAlignment="1" applyProtection="1">
      <alignment horizontal="right"/>
      <protection hidden="1"/>
    </xf>
    <xf numFmtId="0" fontId="65" fillId="7" borderId="81" xfId="0" applyFont="1" applyFill="1" applyBorder="1" applyAlignment="1" applyProtection="1">
      <alignment vertical="center"/>
      <protection hidden="1"/>
    </xf>
    <xf numFmtId="0" fontId="64" fillId="7" borderId="81" xfId="0" applyFont="1" applyFill="1" applyBorder="1" applyAlignment="1" applyProtection="1">
      <alignment vertical="center"/>
      <protection hidden="1"/>
    </xf>
    <xf numFmtId="0" fontId="66" fillId="7" borderId="0" xfId="0" applyFont="1" applyFill="1" applyAlignment="1" applyProtection="1">
      <alignment vertical="center"/>
      <protection hidden="1"/>
    </xf>
    <xf numFmtId="0" fontId="0" fillId="0" borderId="0" xfId="0" applyAlignment="1" applyProtection="1">
      <alignment vertical="center"/>
      <protection hidden="1"/>
    </xf>
    <xf numFmtId="0" fontId="64" fillId="7" borderId="5" xfId="0" applyFont="1" applyFill="1" applyBorder="1" applyAlignment="1" applyProtection="1">
      <alignment vertical="center"/>
      <protection hidden="1"/>
    </xf>
    <xf numFmtId="0" fontId="63" fillId="7" borderId="0" xfId="0" applyFont="1" applyFill="1" applyAlignment="1" applyProtection="1">
      <protection hidden="1"/>
    </xf>
    <xf numFmtId="0" fontId="1" fillId="0" borderId="0" xfId="0" applyFont="1" applyAlignment="1" applyProtection="1">
      <protection hidden="1"/>
    </xf>
    <xf numFmtId="170" fontId="62" fillId="7" borderId="5" xfId="0" applyNumberFormat="1" applyFont="1" applyFill="1" applyBorder="1" applyAlignment="1" applyProtection="1">
      <alignment horizontal="right"/>
      <protection hidden="1"/>
    </xf>
    <xf numFmtId="0" fontId="63" fillId="0" borderId="5" xfId="0" applyFont="1" applyBorder="1" applyAlignment="1" applyProtection="1">
      <alignment horizontal="right"/>
      <protection hidden="1"/>
    </xf>
    <xf numFmtId="1" fontId="62" fillId="7" borderId="5" xfId="0" applyNumberFormat="1" applyFont="1" applyFill="1" applyBorder="1" applyAlignment="1" applyProtection="1">
      <alignment horizontal="left"/>
      <protection hidden="1"/>
    </xf>
    <xf numFmtId="0" fontId="63" fillId="0" borderId="5" xfId="0" applyFont="1" applyBorder="1" applyAlignment="1" applyProtection="1">
      <alignment horizontal="left"/>
      <protection hidden="1"/>
    </xf>
    <xf numFmtId="0" fontId="68" fillId="7" borderId="0" xfId="0" applyFont="1" applyFill="1" applyAlignment="1" applyProtection="1">
      <protection hidden="1"/>
    </xf>
    <xf numFmtId="181" fontId="64" fillId="7" borderId="0" xfId="0" applyNumberFormat="1" applyFont="1" applyFill="1" applyAlignment="1" applyProtection="1">
      <alignment horizontal="left" vertical="center"/>
      <protection hidden="1"/>
    </xf>
    <xf numFmtId="0" fontId="63" fillId="7" borderId="0" xfId="0" applyFont="1" applyFill="1" applyAlignment="1" applyProtection="1">
      <alignment vertical="top" wrapText="1"/>
      <protection hidden="1"/>
    </xf>
    <xf numFmtId="0" fontId="77" fillId="7" borderId="31" xfId="0" applyFont="1" applyFill="1" applyBorder="1" applyAlignment="1" applyProtection="1">
      <alignment wrapText="1"/>
      <protection hidden="1"/>
    </xf>
    <xf numFmtId="0" fontId="77" fillId="7" borderId="81" xfId="0" applyFont="1" applyFill="1" applyBorder="1" applyAlignment="1" applyProtection="1">
      <alignment wrapText="1"/>
      <protection hidden="1"/>
    </xf>
    <xf numFmtId="0" fontId="78" fillId="0" borderId="81" xfId="0" applyFont="1" applyBorder="1" applyAlignment="1" applyProtection="1">
      <alignment wrapText="1"/>
      <protection hidden="1"/>
    </xf>
    <xf numFmtId="0" fontId="78" fillId="0" borderId="82" xfId="0" applyFont="1" applyBorder="1" applyAlignment="1" applyProtection="1">
      <alignment wrapText="1"/>
      <protection hidden="1"/>
    </xf>
    <xf numFmtId="0" fontId="63" fillId="7" borderId="4" xfId="0" applyFont="1" applyFill="1" applyBorder="1" applyAlignment="1" applyProtection="1">
      <alignment vertical="center" wrapText="1"/>
      <protection hidden="1"/>
    </xf>
    <xf numFmtId="0" fontId="63" fillId="7" borderId="5" xfId="0" applyFont="1" applyFill="1" applyBorder="1" applyAlignment="1" applyProtection="1">
      <alignment vertical="center" wrapText="1"/>
      <protection hidden="1"/>
    </xf>
    <xf numFmtId="0" fontId="63" fillId="0" borderId="5" xfId="0" applyFont="1" applyBorder="1" applyAlignment="1" applyProtection="1">
      <alignment vertical="center" wrapText="1"/>
      <protection hidden="1"/>
    </xf>
    <xf numFmtId="0" fontId="63" fillId="0" borderId="1" xfId="0" applyFont="1" applyBorder="1" applyAlignment="1" applyProtection="1">
      <alignment vertical="center" wrapText="1"/>
      <protection hidden="1"/>
    </xf>
    <xf numFmtId="0" fontId="64" fillId="7" borderId="0" xfId="0" applyFont="1" applyFill="1" applyAlignment="1" applyProtection="1">
      <alignment horizontal="center"/>
      <protection hidden="1"/>
    </xf>
    <xf numFmtId="0" fontId="76" fillId="7" borderId="28" xfId="0" applyFont="1" applyFill="1" applyBorder="1" applyAlignment="1" applyProtection="1">
      <alignment vertical="center" wrapText="1"/>
      <protection hidden="1"/>
    </xf>
    <xf numFmtId="0" fontId="63" fillId="7" borderId="0" xfId="0" applyFont="1" applyFill="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188" fontId="63" fillId="7" borderId="0" xfId="0" applyNumberFormat="1" applyFont="1" applyFill="1" applyAlignment="1" applyProtection="1">
      <alignment vertical="top" wrapText="1"/>
      <protection hidden="1"/>
    </xf>
    <xf numFmtId="188" fontId="63" fillId="0" borderId="0" xfId="0" applyNumberFormat="1" applyFont="1" applyAlignment="1" applyProtection="1">
      <alignment vertical="top" wrapText="1"/>
      <protection hidden="1"/>
    </xf>
    <xf numFmtId="0" fontId="63" fillId="0" borderId="0" xfId="0" applyFont="1" applyAlignment="1" applyProtection="1">
      <protection hidden="1"/>
    </xf>
    <xf numFmtId="0" fontId="41" fillId="0" borderId="10" xfId="5" applyFont="1" applyBorder="1" applyAlignment="1">
      <alignment horizontal="center" wrapText="1"/>
    </xf>
    <xf numFmtId="184" fontId="58" fillId="0" borderId="21" xfId="4" applyFont="1" applyBorder="1" applyAlignment="1">
      <alignment horizontal="center" wrapText="1"/>
    </xf>
    <xf numFmtId="184" fontId="58" fillId="0" borderId="18" xfId="4"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165" fontId="5" fillId="0" borderId="29"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0" borderId="27" xfId="0" applyNumberFormat="1" applyFont="1" applyBorder="1" applyAlignment="1">
      <alignment horizontal="center" vertical="center" wrapText="1"/>
    </xf>
    <xf numFmtId="1" fontId="38" fillId="0" borderId="8" xfId="5" applyNumberFormat="1" applyFont="1" applyBorder="1" applyAlignment="1">
      <alignment horizontal="center"/>
    </xf>
    <xf numFmtId="1" fontId="37" fillId="0" borderId="0" xfId="4" applyNumberFormat="1" applyAlignment="1"/>
    <xf numFmtId="1" fontId="37" fillId="0" borderId="40" xfId="4" applyNumberFormat="1" applyBorder="1" applyAlignment="1"/>
    <xf numFmtId="1" fontId="39" fillId="0" borderId="10" xfId="5" applyNumberFormat="1" applyFont="1" applyBorder="1" applyAlignment="1">
      <alignment horizontal="center" vertical="center" wrapText="1"/>
    </xf>
    <xf numFmtId="1" fontId="37" fillId="0" borderId="21" xfId="4" applyNumberFormat="1" applyBorder="1" applyAlignment="1"/>
    <xf numFmtId="1" fontId="37" fillId="0" borderId="18" xfId="4" applyNumberFormat="1" applyBorder="1" applyAlignment="1"/>
    <xf numFmtId="0" fontId="5" fillId="11" borderId="29" xfId="0" applyFont="1" applyFill="1" applyBorder="1" applyAlignment="1">
      <alignment horizontal="left" vertical="center"/>
    </xf>
    <xf numFmtId="0" fontId="5" fillId="11" borderId="28" xfId="0" applyFont="1" applyFill="1" applyBorder="1" applyAlignment="1">
      <alignment horizontal="left" vertical="center"/>
    </xf>
    <xf numFmtId="0" fontId="5" fillId="11" borderId="27" xfId="0" applyFont="1" applyFill="1" applyBorder="1" applyAlignment="1">
      <alignment horizontal="left" vertical="center"/>
    </xf>
    <xf numFmtId="0" fontId="21" fillId="7" borderId="0" xfId="0" applyFont="1" applyFill="1" applyBorder="1" applyAlignment="1"/>
    <xf numFmtId="0" fontId="1" fillId="7" borderId="2" xfId="0" applyFont="1" applyFill="1" applyBorder="1" applyAlignment="1"/>
    <xf numFmtId="0" fontId="0" fillId="7" borderId="60" xfId="0" applyFill="1" applyBorder="1" applyAlignment="1"/>
    <xf numFmtId="0" fontId="29" fillId="7" borderId="0" xfId="0" applyFont="1" applyFill="1" applyAlignment="1" applyProtection="1">
      <protection hidden="1"/>
    </xf>
    <xf numFmtId="0" fontId="29" fillId="7" borderId="3" xfId="0" applyFont="1" applyFill="1" applyBorder="1" applyAlignment="1"/>
    <xf numFmtId="0" fontId="1" fillId="7" borderId="51" xfId="0" applyFont="1" applyFill="1" applyBorder="1" applyAlignment="1"/>
    <xf numFmtId="0" fontId="0" fillId="7" borderId="56" xfId="0" applyFill="1" applyBorder="1" applyAlignment="1"/>
    <xf numFmtId="0" fontId="1" fillId="7" borderId="45" xfId="0" applyFont="1" applyFill="1" applyBorder="1" applyAlignment="1"/>
    <xf numFmtId="0" fontId="0" fillId="7" borderId="55" xfId="0" applyFill="1" applyBorder="1" applyAlignment="1"/>
    <xf numFmtId="0" fontId="53" fillId="7" borderId="5" xfId="0" applyFont="1" applyFill="1" applyBorder="1" applyAlignment="1"/>
    <xf numFmtId="0" fontId="53" fillId="7" borderId="28" xfId="0" applyFont="1" applyFill="1" applyBorder="1" applyAlignment="1"/>
    <xf numFmtId="0" fontId="1" fillId="7" borderId="31" xfId="0" applyFont="1" applyFill="1" applyBorder="1" applyAlignment="1"/>
    <xf numFmtId="0" fontId="0" fillId="7" borderId="54" xfId="0" applyFill="1" applyBorder="1" applyAlignment="1"/>
    <xf numFmtId="0" fontId="0" fillId="7" borderId="59" xfId="0" applyFill="1" applyBorder="1" applyAlignment="1"/>
    <xf numFmtId="0" fontId="80" fillId="0" borderId="83" xfId="13" applyFill="1" applyAlignment="1" applyProtection="1">
      <alignment vertical="center"/>
      <protection hidden="1"/>
    </xf>
    <xf numFmtId="0" fontId="80" fillId="0" borderId="83" xfId="13" applyAlignment="1"/>
    <xf numFmtId="43" fontId="0" fillId="2" borderId="5" xfId="2" applyNumberFormat="1" applyFont="1" applyFill="1" applyBorder="1" applyAlignment="1" applyProtection="1">
      <alignment wrapText="1"/>
      <protection hidden="1"/>
    </xf>
    <xf numFmtId="0" fontId="42" fillId="2" borderId="0" xfId="0" applyFont="1" applyFill="1" applyBorder="1" applyAlignment="1"/>
    <xf numFmtId="0" fontId="42" fillId="0" borderId="0" xfId="0" applyFont="1" applyAlignment="1"/>
    <xf numFmtId="0" fontId="8" fillId="2" borderId="81" xfId="0" applyFont="1" applyFill="1" applyBorder="1" applyAlignment="1" applyProtection="1">
      <alignment horizontal="left" vertical="top" wrapText="1"/>
      <protection hidden="1"/>
    </xf>
    <xf numFmtId="0" fontId="0" fillId="0" borderId="81" xfId="0" applyBorder="1" applyAlignment="1">
      <alignment wrapText="1"/>
    </xf>
    <xf numFmtId="0" fontId="8" fillId="2" borderId="28" xfId="0" applyFont="1" applyFill="1" applyBorder="1" applyAlignment="1" applyProtection="1">
      <alignment horizontal="right" wrapText="1"/>
      <protection hidden="1"/>
    </xf>
    <xf numFmtId="0" fontId="0" fillId="0" borderId="28" xfId="0" applyBorder="1" applyAlignment="1">
      <alignment wrapText="1"/>
    </xf>
    <xf numFmtId="0" fontId="0" fillId="2" borderId="5" xfId="0" applyFill="1" applyBorder="1" applyAlignment="1">
      <alignment horizontal="center"/>
    </xf>
    <xf numFmtId="181" fontId="0" fillId="2" borderId="0" xfId="0" applyNumberFormat="1" applyFill="1" applyAlignment="1">
      <alignment horizontal="left"/>
    </xf>
    <xf numFmtId="0" fontId="2" fillId="2" borderId="0" xfId="0" applyFont="1" applyFill="1" applyAlignment="1">
      <alignment horizontal="left"/>
    </xf>
    <xf numFmtId="0" fontId="2" fillId="2" borderId="0" xfId="0" applyFont="1" applyFill="1" applyAlignment="1" applyProtection="1">
      <alignment wrapText="1"/>
      <protection hidden="1"/>
    </xf>
    <xf numFmtId="0" fontId="2" fillId="2" borderId="0" xfId="0" applyFont="1" applyFill="1" applyAlignment="1">
      <alignment wrapText="1"/>
    </xf>
    <xf numFmtId="0" fontId="2" fillId="7" borderId="0" xfId="0" applyFont="1" applyFill="1" applyAlignment="1">
      <alignment horizontal="right"/>
    </xf>
    <xf numFmtId="0" fontId="5" fillId="7" borderId="5" xfId="0" applyFont="1" applyFill="1" applyBorder="1" applyAlignment="1" applyProtection="1">
      <alignment horizontal="left"/>
      <protection locked="0"/>
    </xf>
    <xf numFmtId="0" fontId="1" fillId="2" borderId="81" xfId="0" applyFont="1" applyFill="1" applyBorder="1" applyAlignment="1" applyProtection="1">
      <alignment wrapText="1"/>
      <protection hidden="1"/>
    </xf>
    <xf numFmtId="0" fontId="2" fillId="2" borderId="0" xfId="0" applyFont="1" applyFill="1" applyAlignment="1">
      <alignment horizontal="center"/>
    </xf>
    <xf numFmtId="0" fontId="0" fillId="2" borderId="0" xfId="0" applyFill="1" applyAlignment="1">
      <alignment horizontal="center"/>
    </xf>
    <xf numFmtId="0" fontId="26" fillId="2" borderId="0" xfId="3" applyFill="1" applyAlignment="1" applyProtection="1">
      <alignment horizontal="center"/>
    </xf>
    <xf numFmtId="0" fontId="0" fillId="0" borderId="0" xfId="0" applyFill="1" applyAlignment="1">
      <alignment horizontal="left"/>
    </xf>
    <xf numFmtId="0" fontId="0" fillId="2" borderId="0" xfId="0" applyFill="1" applyAlignment="1">
      <alignment horizontal="right"/>
    </xf>
    <xf numFmtId="44" fontId="2" fillId="2" borderId="30" xfId="2" applyFont="1" applyFill="1" applyBorder="1" applyAlignment="1" applyProtection="1">
      <alignment wrapText="1"/>
      <protection hidden="1"/>
    </xf>
    <xf numFmtId="0" fontId="0" fillId="0" borderId="30" xfId="0" applyBorder="1" applyAlignment="1">
      <alignment wrapText="1"/>
    </xf>
    <xf numFmtId="0" fontId="2" fillId="2" borderId="0" xfId="0" applyFont="1" applyFill="1" applyAlignment="1">
      <alignment vertical="top" wrapText="1"/>
    </xf>
    <xf numFmtId="0" fontId="1" fillId="2" borderId="0" xfId="0" applyFont="1" applyFill="1" applyAlignment="1" applyProtection="1">
      <alignment wrapText="1"/>
      <protection hidden="1"/>
    </xf>
    <xf numFmtId="0" fontId="1" fillId="2" borderId="0" xfId="0" applyFont="1" applyFill="1" applyAlignment="1">
      <alignment horizontal="left" vertical="top" wrapText="1"/>
    </xf>
    <xf numFmtId="0" fontId="0" fillId="2" borderId="0" xfId="0" applyFill="1" applyAlignment="1">
      <alignment horizontal="left" vertical="top" wrapText="1"/>
    </xf>
    <xf numFmtId="0" fontId="0" fillId="2" borderId="28" xfId="0" applyFill="1" applyBorder="1" applyAlignment="1">
      <alignment horizontal="left"/>
    </xf>
    <xf numFmtId="0" fontId="0" fillId="2" borderId="5" xfId="0" applyFill="1" applyBorder="1" applyAlignment="1">
      <alignment horizontal="left"/>
    </xf>
    <xf numFmtId="0" fontId="12" fillId="7" borderId="0" xfId="0" applyFont="1" applyFill="1" applyAlignment="1">
      <alignment horizontal="left"/>
    </xf>
    <xf numFmtId="0" fontId="0" fillId="2" borderId="0" xfId="0" applyFill="1" applyAlignment="1">
      <alignment vertical="top" wrapText="1"/>
    </xf>
    <xf numFmtId="0" fontId="5" fillId="7" borderId="5" xfId="0" applyFont="1" applyFill="1" applyBorder="1" applyAlignment="1" applyProtection="1">
      <protection locked="0"/>
    </xf>
    <xf numFmtId="0" fontId="1" fillId="7" borderId="0" xfId="0" applyFont="1" applyFill="1" applyAlignment="1">
      <alignment horizontal="right"/>
    </xf>
    <xf numFmtId="181" fontId="5" fillId="7" borderId="5" xfId="0" applyNumberFormat="1" applyFont="1" applyFill="1" applyBorder="1" applyAlignment="1" applyProtection="1">
      <alignment horizontal="left"/>
      <protection locked="0"/>
    </xf>
    <xf numFmtId="181" fontId="5" fillId="7" borderId="5" xfId="0" applyNumberFormat="1" applyFont="1" applyFill="1" applyBorder="1" applyAlignment="1" applyProtection="1">
      <protection locked="0"/>
    </xf>
    <xf numFmtId="0" fontId="8" fillId="2" borderId="28" xfId="0" applyFont="1" applyFill="1" applyBorder="1" applyAlignment="1" applyProtection="1">
      <alignment horizontal="left" vertical="top" wrapText="1"/>
      <protection hidden="1"/>
    </xf>
    <xf numFmtId="0" fontId="0" fillId="0" borderId="28" xfId="0" applyBorder="1" applyAlignment="1">
      <alignment horizontal="left" vertical="top" wrapText="1"/>
    </xf>
    <xf numFmtId="178" fontId="2" fillId="0" borderId="0" xfId="0" applyNumberFormat="1" applyFont="1" applyFill="1" applyAlignment="1">
      <alignment horizontal="left"/>
    </xf>
    <xf numFmtId="0" fontId="44" fillId="2" borderId="0" xfId="0" applyFont="1" applyFill="1" applyAlignment="1" applyProtection="1">
      <alignment vertical="center" wrapText="1"/>
      <protection hidden="1"/>
    </xf>
    <xf numFmtId="170" fontId="42" fillId="2" borderId="0" xfId="0" applyNumberFormat="1" applyFont="1" applyFill="1" applyAlignment="1" applyProtection="1">
      <alignment vertical="top" wrapText="1"/>
      <protection locked="0"/>
    </xf>
    <xf numFmtId="170" fontId="42" fillId="0" borderId="0" xfId="0" applyNumberFormat="1" applyFont="1" applyAlignment="1" applyProtection="1">
      <alignment wrapText="1"/>
      <protection locked="0"/>
    </xf>
    <xf numFmtId="0" fontId="0" fillId="2" borderId="0" xfId="0" applyFill="1" applyBorder="1" applyAlignment="1">
      <alignment horizontal="left" wrapText="1"/>
    </xf>
    <xf numFmtId="170" fontId="2" fillId="2" borderId="5" xfId="0" applyNumberFormat="1" applyFont="1" applyFill="1" applyBorder="1" applyAlignment="1" applyProtection="1">
      <alignment horizontal="right" wrapText="1"/>
      <protection hidden="1"/>
    </xf>
    <xf numFmtId="170" fontId="0" fillId="0" borderId="5" xfId="0" applyNumberFormat="1" applyBorder="1" applyAlignment="1">
      <alignment wrapText="1"/>
    </xf>
    <xf numFmtId="0" fontId="0" fillId="2" borderId="0" xfId="0" applyFill="1" applyAlignment="1">
      <alignment wrapText="1"/>
    </xf>
    <xf numFmtId="0" fontId="2" fillId="0" borderId="0" xfId="0" applyFont="1" applyFill="1" applyAlignment="1">
      <alignment horizontal="left"/>
    </xf>
    <xf numFmtId="178" fontId="19" fillId="2" borderId="5" xfId="0" applyNumberFormat="1" applyFont="1" applyFill="1" applyBorder="1" applyAlignment="1" applyProtection="1">
      <alignment horizontal="center"/>
      <protection hidden="1"/>
    </xf>
    <xf numFmtId="49" fontId="1" fillId="2" borderId="0" xfId="0" applyNumberFormat="1" applyFont="1" applyFill="1" applyAlignment="1" applyProtection="1">
      <alignment horizontal="right"/>
      <protection hidden="1"/>
    </xf>
    <xf numFmtId="0" fontId="25" fillId="2" borderId="5" xfId="0" applyFont="1" applyFill="1" applyBorder="1" applyAlignment="1">
      <alignment horizontal="center" wrapText="1"/>
    </xf>
    <xf numFmtId="0" fontId="19" fillId="0" borderId="0" xfId="0" applyFont="1" applyAlignment="1">
      <alignment wrapText="1"/>
    </xf>
    <xf numFmtId="0" fontId="5" fillId="2" borderId="5" xfId="0" applyFont="1" applyFill="1" applyBorder="1" applyAlignment="1" applyProtection="1">
      <alignment horizontal="left" wrapText="1"/>
      <protection hidden="1"/>
    </xf>
    <xf numFmtId="0" fontId="8" fillId="2" borderId="81" xfId="0" applyFont="1" applyFill="1" applyBorder="1" applyAlignment="1" applyProtection="1">
      <alignment horizontal="right" wrapText="1"/>
      <protection hidden="1"/>
    </xf>
    <xf numFmtId="0" fontId="5" fillId="7" borderId="0" xfId="0" applyNumberFormat="1" applyFont="1" applyFill="1" applyBorder="1" applyAlignment="1" applyProtection="1">
      <alignment horizontal="center" wrapText="1"/>
      <protection hidden="1"/>
    </xf>
    <xf numFmtId="0" fontId="5" fillId="7" borderId="5" xfId="0" applyFont="1" applyFill="1" applyBorder="1" applyAlignment="1">
      <alignment horizontal="center" wrapText="1"/>
    </xf>
    <xf numFmtId="0" fontId="0" fillId="0" borderId="0" xfId="0" applyBorder="1" applyAlignment="1">
      <alignment horizontal="left" wrapText="1"/>
    </xf>
    <xf numFmtId="0" fontId="0" fillId="2" borderId="5" xfId="0" applyFill="1" applyBorder="1" applyAlignment="1">
      <alignment horizontal="left" wrapText="1"/>
    </xf>
    <xf numFmtId="0" fontId="5" fillId="2" borderId="0" xfId="0" applyFont="1" applyFill="1" applyAlignment="1" applyProtection="1">
      <alignment horizontal="left" vertical="center" wrapText="1"/>
      <protection hidden="1"/>
    </xf>
    <xf numFmtId="0" fontId="0" fillId="2" borderId="0" xfId="0" applyFill="1" applyAlignment="1" applyProtection="1">
      <alignment horizontal="left" wrapText="1"/>
      <protection hidden="1"/>
    </xf>
    <xf numFmtId="44" fontId="0" fillId="2" borderId="5" xfId="2" applyFont="1" applyFill="1" applyBorder="1" applyAlignment="1" applyProtection="1">
      <alignment wrapText="1"/>
      <protection hidden="1"/>
    </xf>
    <xf numFmtId="0" fontId="0" fillId="2" borderId="0" xfId="0" applyFill="1" applyAlignment="1" applyProtection="1">
      <alignment horizontal="left"/>
      <protection hidden="1"/>
    </xf>
    <xf numFmtId="0" fontId="19" fillId="2" borderId="5" xfId="0" applyFont="1" applyFill="1" applyBorder="1" applyAlignment="1" applyProtection="1">
      <alignment horizontal="left"/>
      <protection hidden="1"/>
    </xf>
    <xf numFmtId="49" fontId="19" fillId="2" borderId="0" xfId="0" applyNumberFormat="1" applyFont="1" applyFill="1" applyAlignment="1" applyProtection="1">
      <alignment horizontal="left" wrapText="1"/>
      <protection hidden="1"/>
    </xf>
    <xf numFmtId="0" fontId="19" fillId="2" borderId="0" xfId="0" applyFont="1" applyFill="1" applyAlignment="1" applyProtection="1">
      <alignment horizontal="left" wrapText="1"/>
      <protection hidden="1"/>
    </xf>
    <xf numFmtId="43" fontId="0" fillId="2" borderId="28" xfId="2" applyNumberFormat="1" applyFont="1" applyFill="1" applyBorder="1" applyAlignment="1" applyProtection="1">
      <alignment wrapText="1"/>
      <protection hidden="1"/>
    </xf>
    <xf numFmtId="168" fontId="1" fillId="2" borderId="5" xfId="0" applyNumberFormat="1" applyFont="1" applyFill="1" applyBorder="1" applyAlignment="1" applyProtection="1">
      <alignment horizontal="left" wrapText="1"/>
      <protection hidden="1"/>
    </xf>
    <xf numFmtId="0" fontId="0" fillId="2" borderId="5" xfId="0" applyFill="1" applyBorder="1" applyAlignment="1">
      <alignment wrapText="1"/>
    </xf>
    <xf numFmtId="0" fontId="1" fillId="0" borderId="10" xfId="0" applyFont="1" applyBorder="1" applyAlignment="1" applyProtection="1">
      <alignment horizontal="left"/>
      <protection hidden="1"/>
    </xf>
    <xf numFmtId="0" fontId="0" fillId="0" borderId="21" xfId="0" applyBorder="1" applyAlignment="1">
      <alignment horizontal="left"/>
    </xf>
    <xf numFmtId="0" fontId="0" fillId="0" borderId="21" xfId="0" applyBorder="1" applyAlignment="1"/>
    <xf numFmtId="0" fontId="0" fillId="0" borderId="18" xfId="0" applyBorder="1" applyAlignment="1"/>
    <xf numFmtId="0" fontId="5" fillId="0" borderId="19" xfId="0" applyFont="1" applyBorder="1" applyAlignment="1" applyProtection="1">
      <alignment horizontal="center"/>
      <protection hidden="1"/>
    </xf>
    <xf numFmtId="0" fontId="0" fillId="0" borderId="23" xfId="0" applyBorder="1" applyAlignment="1">
      <alignment horizontal="center"/>
    </xf>
    <xf numFmtId="0" fontId="0" fillId="0" borderId="20" xfId="0" applyBorder="1" applyAlignment="1">
      <alignment horizontal="center"/>
    </xf>
    <xf numFmtId="0" fontId="2" fillId="0" borderId="12" xfId="0" applyFont="1" applyBorder="1" applyAlignment="1" applyProtection="1">
      <alignment horizontal="center"/>
      <protection hidden="1"/>
    </xf>
    <xf numFmtId="0" fontId="0" fillId="0" borderId="38" xfId="0" applyBorder="1" applyAlignment="1"/>
    <xf numFmtId="0" fontId="0" fillId="0" borderId="39" xfId="0" applyBorder="1" applyAlignment="1"/>
    <xf numFmtId="0" fontId="0" fillId="0" borderId="6" xfId="0" applyBorder="1" applyAlignment="1"/>
    <xf numFmtId="0" fontId="0" fillId="0" borderId="25" xfId="0" applyBorder="1" applyAlignment="1"/>
    <xf numFmtId="0" fontId="1" fillId="0" borderId="8" xfId="0" applyFont="1" applyBorder="1" applyAlignment="1" applyProtection="1">
      <alignment horizontal="left"/>
      <protection hidden="1"/>
    </xf>
    <xf numFmtId="0" fontId="0" fillId="0" borderId="40" xfId="0" applyBorder="1" applyAlignment="1"/>
    <xf numFmtId="0" fontId="2" fillId="0" borderId="6" xfId="0" applyFont="1" applyBorder="1" applyAlignment="1" applyProtection="1">
      <alignment horizontal="center"/>
      <protection hidden="1"/>
    </xf>
    <xf numFmtId="0" fontId="2" fillId="0" borderId="25" xfId="0" applyFont="1" applyBorder="1" applyAlignment="1" applyProtection="1">
      <alignment horizontal="center"/>
      <protection hidden="1"/>
    </xf>
    <xf numFmtId="14" fontId="2" fillId="0" borderId="12" xfId="0" applyNumberFormat="1" applyFont="1" applyBorder="1" applyAlignment="1" applyProtection="1">
      <alignment horizontal="center" vertical="center"/>
      <protection hidden="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pplyProtection="1">
      <alignment horizontal="left"/>
      <protection hidden="1"/>
    </xf>
    <xf numFmtId="0" fontId="2" fillId="0" borderId="21" xfId="0" applyFont="1" applyBorder="1" applyAlignment="1" applyProtection="1">
      <alignment horizontal="left"/>
      <protection hidden="1"/>
    </xf>
    <xf numFmtId="0" fontId="0" fillId="0" borderId="13" xfId="0" applyBorder="1" applyAlignment="1" applyProtection="1">
      <alignment horizontal="center"/>
      <protection hidden="1"/>
    </xf>
    <xf numFmtId="0" fontId="0" fillId="0" borderId="22"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41" xfId="0" applyBorder="1" applyAlignment="1" applyProtection="1">
      <alignment horizontal="center"/>
      <protection hidden="1"/>
    </xf>
    <xf numFmtId="0" fontId="0" fillId="0" borderId="38" xfId="0" applyBorder="1" applyAlignment="1">
      <alignment horizontal="center"/>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lignment horizontal="center"/>
    </xf>
    <xf numFmtId="0" fontId="0" fillId="0" borderId="15" xfId="0" applyBorder="1" applyAlignment="1" applyProtection="1">
      <alignment horizontal="center"/>
      <protection hidden="1"/>
    </xf>
    <xf numFmtId="168" fontId="2" fillId="0" borderId="21" xfId="0" applyNumberFormat="1" applyFont="1" applyBorder="1" applyAlignment="1" applyProtection="1">
      <alignment horizontal="left"/>
      <protection hidden="1"/>
    </xf>
    <xf numFmtId="0" fontId="0" fillId="0" borderId="18" xfId="0" applyBorder="1" applyAlignment="1">
      <alignment horizontal="left"/>
    </xf>
    <xf numFmtId="0" fontId="0" fillId="0" borderId="31" xfId="0" applyBorder="1" applyAlignment="1" applyProtection="1">
      <alignment horizontal="center"/>
      <protection hidden="1"/>
    </xf>
    <xf numFmtId="0" fontId="0" fillId="0" borderId="81" xfId="0" applyBorder="1" applyAlignment="1">
      <alignment horizontal="center"/>
    </xf>
    <xf numFmtId="0" fontId="2" fillId="0" borderId="19" xfId="0" applyFont="1" applyBorder="1" applyAlignment="1" applyProtection="1">
      <alignment horizontal="left"/>
      <protection hidden="1"/>
    </xf>
    <xf numFmtId="0" fontId="2" fillId="0" borderId="23" xfId="0" applyFont="1" applyBorder="1" applyAlignment="1" applyProtection="1">
      <alignment horizontal="left"/>
      <protection hidden="1"/>
    </xf>
    <xf numFmtId="0" fontId="2" fillId="0" borderId="23" xfId="0" applyFont="1" applyBorder="1" applyAlignment="1">
      <alignment horizontal="left"/>
    </xf>
    <xf numFmtId="0" fontId="0" fillId="0" borderId="17" xfId="0" applyBorder="1" applyAlignment="1" applyProtection="1">
      <alignment horizontal="center"/>
      <protection hidden="1"/>
    </xf>
    <xf numFmtId="0" fontId="0" fillId="0" borderId="2" xfId="0" applyBorder="1" applyAlignment="1" applyProtection="1">
      <alignment horizontal="center" wrapText="1"/>
      <protection hidden="1"/>
    </xf>
    <xf numFmtId="0" fontId="0" fillId="0" borderId="40" xfId="0" applyBorder="1" applyAlignment="1" applyProtection="1">
      <alignment horizontal="center" wrapText="1"/>
      <protection hidden="1"/>
    </xf>
    <xf numFmtId="0" fontId="0" fillId="0" borderId="42" xfId="0" applyBorder="1" applyAlignment="1" applyProtection="1">
      <alignment horizontal="center"/>
      <protection hidden="1"/>
    </xf>
    <xf numFmtId="0" fontId="0" fillId="0" borderId="18" xfId="0"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39" xfId="0" applyBorder="1" applyAlignment="1" applyProtection="1">
      <alignment horizontal="center"/>
      <protection hidden="1"/>
    </xf>
    <xf numFmtId="0" fontId="0" fillId="0" borderId="15" xfId="0" applyBorder="1" applyAlignment="1">
      <alignment horizontal="center"/>
    </xf>
    <xf numFmtId="0" fontId="2" fillId="0" borderId="15" xfId="0" applyFont="1" applyBorder="1" applyAlignment="1" applyProtection="1">
      <alignment horizontal="center"/>
      <protection hidden="1"/>
    </xf>
    <xf numFmtId="0" fontId="2" fillId="0" borderId="15" xfId="0" applyFont="1" applyBorder="1" applyAlignment="1">
      <alignment horizontal="center"/>
    </xf>
    <xf numFmtId="0" fontId="0" fillId="0" borderId="29" xfId="0" applyBorder="1" applyAlignment="1" applyProtection="1">
      <alignment horizontal="left" wrapText="1"/>
      <protection hidden="1"/>
    </xf>
    <xf numFmtId="0" fontId="0" fillId="0" borderId="28" xfId="0" applyBorder="1" applyAlignment="1" applyProtection="1">
      <alignment horizontal="left"/>
      <protection hidden="1"/>
    </xf>
    <xf numFmtId="0" fontId="0" fillId="0" borderId="27" xfId="0" applyBorder="1" applyAlignment="1" applyProtection="1">
      <alignment horizontal="left"/>
      <protection hidden="1"/>
    </xf>
    <xf numFmtId="0" fontId="0" fillId="2" borderId="31" xfId="0" applyNumberFormat="1" applyFill="1" applyBorder="1" applyAlignment="1" applyProtection="1">
      <alignment horizontal="left" vertical="center"/>
      <protection hidden="1"/>
    </xf>
    <xf numFmtId="0" fontId="0" fillId="0" borderId="81" xfId="0" applyBorder="1" applyAlignment="1" applyProtection="1">
      <alignment horizontal="left"/>
      <protection hidden="1"/>
    </xf>
    <xf numFmtId="0" fontId="0" fillId="0" borderId="82" xfId="0" applyBorder="1" applyAlignment="1" applyProtection="1">
      <alignment horizontal="left"/>
      <protection hidden="1"/>
    </xf>
    <xf numFmtId="0" fontId="0" fillId="2" borderId="29" xfId="0" applyNumberFormat="1" applyFill="1" applyBorder="1" applyAlignment="1" applyProtection="1">
      <alignment horizontal="left" vertical="center"/>
      <protection hidden="1"/>
    </xf>
    <xf numFmtId="0" fontId="0" fillId="0" borderId="29" xfId="0" applyBorder="1" applyAlignment="1" applyProtection="1">
      <alignment horizontal="center" wrapText="1"/>
      <protection hidden="1"/>
    </xf>
    <xf numFmtId="0" fontId="0" fillId="0" borderId="28" xfId="0" applyBorder="1" applyAlignment="1" applyProtection="1">
      <alignment horizontal="center"/>
      <protection hidden="1"/>
    </xf>
    <xf numFmtId="0" fontId="2" fillId="0" borderId="5" xfId="0" applyFont="1" applyBorder="1" applyAlignment="1" applyProtection="1">
      <alignment horizontal="center" vertical="center" wrapText="1"/>
      <protection hidden="1"/>
    </xf>
    <xf numFmtId="0" fontId="0" fillId="3" borderId="26" xfId="0" applyFill="1" applyBorder="1" applyAlignment="1" applyProtection="1">
      <alignment wrapText="1"/>
      <protection hidden="1"/>
    </xf>
    <xf numFmtId="0" fontId="0" fillId="3" borderId="26" xfId="0" applyFill="1" applyBorder="1" applyAlignment="1" applyProtection="1">
      <protection hidden="1"/>
    </xf>
    <xf numFmtId="0" fontId="0" fillId="3" borderId="29" xfId="0" applyFill="1" applyBorder="1" applyAlignment="1" applyProtection="1">
      <protection hidden="1"/>
    </xf>
    <xf numFmtId="166" fontId="2" fillId="3" borderId="26" xfId="0" applyNumberFormat="1"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0" fillId="3" borderId="26" xfId="0" applyFill="1" applyBorder="1" applyAlignment="1" applyProtection="1">
      <alignment horizontal="left" vertical="center" wrapText="1"/>
      <protection hidden="1"/>
    </xf>
    <xf numFmtId="0" fontId="0" fillId="3" borderId="26" xfId="0" applyFill="1" applyBorder="1" applyAlignment="1" applyProtection="1">
      <alignment horizontal="left" vertical="center"/>
      <protection hidden="1"/>
    </xf>
    <xf numFmtId="166" fontId="2" fillId="3" borderId="26" xfId="6" applyNumberFormat="1" applyFont="1" applyFill="1" applyBorder="1" applyAlignment="1" applyProtection="1">
      <alignment horizontal="center" vertical="center"/>
      <protection hidden="1"/>
    </xf>
    <xf numFmtId="1" fontId="2" fillId="3" borderId="26" xfId="0" applyNumberFormat="1" applyFont="1" applyFill="1" applyBorder="1" applyAlignment="1" applyProtection="1">
      <alignment horizontal="center" vertical="center"/>
      <protection hidden="1"/>
    </xf>
    <xf numFmtId="10" fontId="14" fillId="3" borderId="26" xfId="0" applyNumberFormat="1"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2" fillId="2" borderId="31" xfId="0" applyFont="1" applyFill="1" applyBorder="1" applyAlignment="1" applyProtection="1">
      <alignment horizontal="center" vertical="center" wrapText="1"/>
      <protection hidden="1"/>
    </xf>
    <xf numFmtId="0" fontId="0" fillId="0" borderId="81" xfId="0" applyBorder="1" applyAlignment="1" applyProtection="1">
      <alignment horizontal="center" wrapText="1"/>
      <protection hidden="1"/>
    </xf>
    <xf numFmtId="0" fontId="0" fillId="0" borderId="82" xfId="0" applyBorder="1" applyAlignment="1" applyProtection="1">
      <alignment horizontal="center" wrapText="1"/>
      <protection hidden="1"/>
    </xf>
    <xf numFmtId="0" fontId="0" fillId="0" borderId="4" xfId="0" applyBorder="1" applyAlignment="1" applyProtection="1">
      <alignment horizontal="center" wrapText="1"/>
      <protection hidden="1"/>
    </xf>
    <xf numFmtId="0" fontId="0" fillId="0" borderId="5" xfId="0" applyBorder="1" applyAlignment="1" applyProtection="1">
      <alignment horizontal="center" wrapText="1"/>
      <protection hidden="1"/>
    </xf>
    <xf numFmtId="0" fontId="0" fillId="0" borderId="1" xfId="0" applyBorder="1" applyAlignment="1" applyProtection="1">
      <alignment horizontal="center" wrapText="1"/>
      <protection hidden="1"/>
    </xf>
    <xf numFmtId="0" fontId="0" fillId="0" borderId="4" xfId="0" applyBorder="1" applyAlignment="1" applyProtection="1">
      <alignment vertical="center" wrapText="1"/>
      <protection hidden="1"/>
    </xf>
    <xf numFmtId="0" fontId="0" fillId="0" borderId="29" xfId="0" applyNumberFormat="1" applyFill="1" applyBorder="1" applyAlignment="1" applyProtection="1">
      <alignment horizontal="center" vertical="center"/>
      <protection hidden="1"/>
    </xf>
    <xf numFmtId="0" fontId="0" fillId="0" borderId="28" xfId="0" applyNumberFormat="1" applyFill="1" applyBorder="1" applyAlignment="1" applyProtection="1">
      <alignment horizontal="center" vertical="center"/>
      <protection hidden="1"/>
    </xf>
    <xf numFmtId="0" fontId="0" fillId="0" borderId="27" xfId="0" applyNumberFormat="1" applyFill="1" applyBorder="1" applyAlignment="1" applyProtection="1">
      <alignment horizontal="center" vertical="center"/>
      <protection hidden="1"/>
    </xf>
    <xf numFmtId="0" fontId="0" fillId="0" borderId="28" xfId="0" applyBorder="1" applyAlignment="1" applyProtection="1">
      <alignment vertical="top" wrapText="1"/>
      <protection hidden="1"/>
    </xf>
    <xf numFmtId="0" fontId="0" fillId="0" borderId="27" xfId="0" applyBorder="1" applyAlignment="1" applyProtection="1">
      <alignment vertical="top" wrapText="1"/>
      <protection hidden="1"/>
    </xf>
    <xf numFmtId="0" fontId="2" fillId="0" borderId="22" xfId="0" applyFont="1" applyBorder="1" applyAlignment="1" applyProtection="1">
      <alignment horizontal="center" wrapText="1"/>
      <protection hidden="1"/>
    </xf>
    <xf numFmtId="0" fontId="2" fillId="0" borderId="15" xfId="0" applyFont="1" applyBorder="1" applyAlignment="1" applyProtection="1">
      <alignment horizontal="center" wrapText="1"/>
      <protection hidden="1"/>
    </xf>
    <xf numFmtId="166" fontId="18" fillId="2" borderId="81" xfId="0" applyNumberFormat="1" applyFont="1" applyFill="1" applyBorder="1" applyAlignment="1" applyProtection="1">
      <alignment horizontal="center" vertical="center"/>
      <protection hidden="1"/>
    </xf>
    <xf numFmtId="0" fontId="75" fillId="12" borderId="0" xfId="12" applyFont="1" applyFill="1" applyBorder="1" applyAlignment="1">
      <alignment vertical="center"/>
    </xf>
    <xf numFmtId="0" fontId="1" fillId="3" borderId="26" xfId="0" applyFont="1" applyFill="1" applyBorder="1" applyAlignment="1" applyProtection="1">
      <alignment wrapText="1"/>
      <protection hidden="1"/>
    </xf>
    <xf numFmtId="0" fontId="1" fillId="3" borderId="26" xfId="0" applyFont="1" applyFill="1" applyBorder="1" applyAlignment="1" applyProtection="1">
      <alignment horizontal="left" vertical="center"/>
      <protection hidden="1"/>
    </xf>
    <xf numFmtId="0" fontId="0" fillId="0" borderId="4" xfId="0" applyNumberFormat="1" applyFill="1" applyBorder="1" applyAlignment="1" applyProtection="1">
      <alignment horizontal="center" vertical="center"/>
      <protection hidden="1"/>
    </xf>
    <xf numFmtId="0" fontId="0" fillId="0" borderId="5" xfId="0" applyNumberFormat="1" applyFill="1" applyBorder="1" applyAlignment="1" applyProtection="1">
      <alignment horizontal="center" vertical="center"/>
      <protection hidden="1"/>
    </xf>
    <xf numFmtId="0" fontId="0" fillId="0" borderId="1" xfId="0" applyNumberFormat="1" applyFill="1" applyBorder="1" applyAlignment="1" applyProtection="1">
      <alignment horizontal="center" vertical="center"/>
      <protection hidden="1"/>
    </xf>
  </cellXfs>
  <cellStyles count="14">
    <cellStyle name="Comma" xfId="1" builtinId="3"/>
    <cellStyle name="Currency" xfId="2" builtinId="4"/>
    <cellStyle name="Explanatory Text" xfId="12" builtinId="53"/>
    <cellStyle name="Heading 2" xfId="13" builtinId="17"/>
    <cellStyle name="Hyperlink" xfId="3" builtinId="8"/>
    <cellStyle name="Normal" xfId="0" builtinId="0"/>
    <cellStyle name="Normal 2" xfId="4" xr:uid="{00000000-0005-0000-0000-000004000000}"/>
    <cellStyle name="Normal 2 2" xfId="8" xr:uid="{00000000-0005-0000-0000-000005000000}"/>
    <cellStyle name="Normal 2 3" xfId="7" xr:uid="{00000000-0005-0000-0000-000006000000}"/>
    <cellStyle name="Normal 3" xfId="9" xr:uid="{00000000-0005-0000-0000-000007000000}"/>
    <cellStyle name="Normal 4" xfId="10" xr:uid="{00000000-0005-0000-0000-000008000000}"/>
    <cellStyle name="Normal 5" xfId="11" xr:uid="{00000000-0005-0000-0000-000009000000}"/>
    <cellStyle name="Normal_OR 9699 data updated to 2005" xfId="5" xr:uid="{00000000-0005-0000-0000-00000A000000}"/>
    <cellStyle name="Percent" xfId="6" builtinId="5"/>
  </cellStyles>
  <dxfs count="179">
    <dxf>
      <font>
        <b/>
        <i val="0"/>
        <condense val="0"/>
        <extend val="0"/>
        <color indexed="10"/>
      </font>
    </dxf>
    <dxf>
      <font>
        <condense val="0"/>
        <extend val="0"/>
        <color auto="1"/>
      </font>
      <fill>
        <patternFill patternType="solid">
          <bgColor indexed="9"/>
        </patternFill>
      </fill>
      <border>
        <left/>
        <right/>
        <top/>
        <bottom/>
      </border>
    </dxf>
    <dxf>
      <font>
        <condense val="0"/>
        <extend val="0"/>
        <color indexed="9"/>
      </font>
      <fill>
        <patternFill patternType="solid">
          <bgColor indexed="9"/>
        </patternFill>
      </fill>
      <border>
        <left/>
        <right/>
        <top/>
        <bottom/>
      </border>
    </dxf>
    <dxf>
      <font>
        <condense val="0"/>
        <extend val="0"/>
        <color auto="1"/>
      </font>
      <border>
        <left/>
        <right/>
        <top/>
        <bottom/>
      </border>
    </dxf>
    <dxf>
      <font>
        <condense val="0"/>
        <extend val="0"/>
        <color indexed="9"/>
      </font>
      <border>
        <left/>
        <right/>
        <top/>
        <bottom/>
      </border>
    </dxf>
    <dxf>
      <font>
        <condense val="0"/>
        <extend val="0"/>
        <color indexed="9"/>
      </font>
      <border>
        <left/>
        <right/>
        <top/>
        <bottom/>
      </border>
    </dxf>
    <dxf>
      <font>
        <b/>
        <i val="0"/>
        <condense val="0"/>
        <extend val="0"/>
        <color indexed="12"/>
      </font>
    </dxf>
    <dxf>
      <font>
        <b/>
        <i val="0"/>
        <condense val="0"/>
        <extend val="0"/>
        <color indexed="10"/>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2"/>
      </font>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dxf>
    <dxf>
      <font>
        <condense val="0"/>
        <extend val="0"/>
        <color indexed="12"/>
      </font>
    </dxf>
    <dxf>
      <font>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condense val="0"/>
        <extend val="0"/>
        <color auto="1"/>
      </font>
      <fill>
        <patternFill patternType="solid">
          <bgColor indexed="9"/>
        </patternFill>
      </fill>
      <border>
        <left/>
        <right/>
        <top/>
        <bottom/>
      </border>
    </dxf>
    <dxf>
      <font>
        <condense val="0"/>
        <extend val="0"/>
        <color indexed="9"/>
      </font>
      <fill>
        <patternFill patternType="solid">
          <bgColor indexed="9"/>
        </patternFill>
      </fill>
      <border>
        <left/>
        <right/>
        <top/>
        <bottom/>
      </border>
    </dxf>
    <dxf>
      <font>
        <condense val="0"/>
        <extend val="0"/>
        <color auto="1"/>
      </font>
      <border>
        <left/>
        <right/>
        <top/>
        <bottom/>
      </border>
    </dxf>
    <dxf>
      <font>
        <condense val="0"/>
        <extend val="0"/>
        <color indexed="9"/>
      </font>
      <border>
        <left/>
        <right/>
        <top/>
        <bottom/>
      </border>
    </dxf>
    <dxf>
      <font>
        <condense val="0"/>
        <extend val="0"/>
        <color indexed="9"/>
      </font>
      <border>
        <left/>
        <right/>
        <top/>
        <bottom/>
      </border>
    </dxf>
    <dxf>
      <font>
        <b/>
        <i val="0"/>
        <condense val="0"/>
        <extend val="0"/>
        <color indexed="12"/>
      </font>
    </dxf>
    <dxf>
      <font>
        <b/>
        <i val="0"/>
        <condense val="0"/>
        <extend val="0"/>
        <color indexed="10"/>
      </font>
      <fill>
        <patternFill patternType="none">
          <bgColor indexed="65"/>
        </patternFill>
      </fill>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b/>
        <i val="0"/>
        <condense val="0"/>
        <extend val="0"/>
        <color indexed="12"/>
      </font>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fill>
        <patternFill patternType="none">
          <bgColor indexed="65"/>
        </patternFill>
      </fill>
    </dxf>
    <dxf>
      <font>
        <condense val="0"/>
        <extend val="0"/>
        <color indexed="12"/>
      </font>
    </dxf>
    <dxf>
      <font>
        <condense val="0"/>
        <extend val="0"/>
        <color indexed="12"/>
      </font>
    </dxf>
    <dxf>
      <font>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color theme="0"/>
      </font>
    </dxf>
    <dxf>
      <font>
        <b val="0"/>
        <i val="0"/>
        <strike val="0"/>
        <condense val="0"/>
        <extend val="0"/>
        <outline val="0"/>
        <shadow val="0"/>
        <u val="none"/>
        <vertAlign val="baseline"/>
        <sz val="10"/>
        <color auto="1"/>
        <name val="Arial"/>
        <family val="2"/>
        <scheme val="none"/>
      </font>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color indexed="9"/>
      </font>
      <fill>
        <patternFill patternType="none">
          <bgColor indexed="65"/>
        </patternFill>
      </fill>
    </dxf>
    <dxf>
      <font>
        <condense val="0"/>
        <extend val="0"/>
        <color indexed="22"/>
      </font>
      <fill>
        <patternFill>
          <bgColor indexed="22"/>
        </patternFill>
      </fill>
    </dxf>
    <dxf>
      <font>
        <condense val="0"/>
        <extend val="0"/>
        <u val="none"/>
      </font>
      <border>
        <left/>
        <right/>
        <top/>
        <bottom style="thin">
          <color indexed="64"/>
        </bottom>
      </border>
    </dxf>
    <dxf>
      <border>
        <left/>
        <right/>
        <top/>
        <bottom/>
      </border>
    </dxf>
    <dxf>
      <border>
        <left/>
        <right/>
        <top/>
        <bottom/>
        <vertical/>
        <horizontal/>
      </border>
    </dxf>
    <dxf>
      <border>
        <left/>
        <right/>
        <top/>
        <bottom/>
      </border>
    </dxf>
    <dxf>
      <border>
        <top/>
        <bottom style="thin">
          <color auto="1"/>
        </bottom>
        <vertical/>
        <horizontal/>
      </border>
    </dxf>
    <dxf>
      <border>
        <left style="thin">
          <color auto="1"/>
        </left>
        <right style="thin">
          <color auto="1"/>
        </right>
        <top style="thin">
          <color auto="1"/>
        </top>
        <bottom style="thin">
          <color auto="1"/>
        </bottom>
        <vertical/>
        <horizontal/>
      </border>
    </dxf>
    <dxf>
      <border>
        <left/>
        <right/>
        <top style="thin">
          <color auto="1"/>
        </top>
        <bottom style="thin">
          <color auto="1"/>
        </bottom>
        <vertical/>
        <horizontal/>
      </border>
    </dxf>
    <dxf>
      <border>
        <left/>
        <right style="thin">
          <color auto="1"/>
        </right>
        <top style="thin">
          <color auto="1"/>
        </top>
        <bottom style="thin">
          <color auto="1"/>
        </bottom>
        <vertical/>
        <horizontal/>
      </border>
    </dxf>
    <dxf>
      <border>
        <left/>
        <right/>
        <top style="thin">
          <color auto="1"/>
        </top>
        <bottom style="thin">
          <color auto="1"/>
        </bottom>
        <vertical/>
        <horizontal/>
      </border>
    </dxf>
    <dxf>
      <border>
        <left style="thin">
          <color auto="1"/>
        </left>
        <right/>
        <top style="thin">
          <color auto="1"/>
        </top>
        <bottom style="thin">
          <color auto="1"/>
        </bottom>
        <vertical/>
        <horizontal/>
      </border>
    </dxf>
    <dxf>
      <border>
        <left/>
        <right/>
        <top/>
        <bottom style="thin">
          <color auto="1"/>
        </bottom>
        <vertical/>
        <horizontal/>
      </border>
    </dxf>
    <dxf>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bgColor theme="0"/>
        </patternFill>
      </fill>
    </dxf>
    <dxf>
      <font>
        <color theme="0"/>
      </font>
      <border>
        <left/>
        <right/>
        <top/>
        <bottom/>
        <vertical/>
        <horizontal/>
      </border>
    </dxf>
    <dxf>
      <font>
        <condense val="0"/>
        <extend val="0"/>
        <color indexed="10"/>
      </font>
    </dxf>
    <dxf>
      <font>
        <condense val="0"/>
        <extend val="0"/>
        <color indexed="10"/>
      </font>
    </dxf>
    <dxf>
      <font>
        <color auto="1"/>
      </font>
    </dxf>
    <dxf>
      <font>
        <color auto="1"/>
      </font>
    </dxf>
    <dxf>
      <font>
        <condense val="0"/>
        <extend val="0"/>
        <color indexed="10"/>
      </font>
    </dxf>
    <dxf>
      <font>
        <condense val="0"/>
        <extend val="0"/>
        <color indexed="9"/>
      </font>
    </dxf>
    <dxf>
      <font>
        <condense val="0"/>
        <extend val="0"/>
        <color indexed="10"/>
      </font>
    </dxf>
    <dxf>
      <font>
        <condense val="0"/>
        <extend val="0"/>
        <color indexed="10"/>
      </font>
      <border>
        <left style="thin">
          <color indexed="10"/>
        </left>
        <right style="thin">
          <color indexed="10"/>
        </right>
        <top style="thin">
          <color indexed="10"/>
        </top>
        <bottom style="thin">
          <color indexed="10"/>
        </bottom>
      </border>
    </dxf>
    <dxf>
      <font>
        <condense val="0"/>
        <extend val="0"/>
        <color indexed="9"/>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990099"/>
      <color rgb="FFFFFF99"/>
      <color rgb="FF99CCFF"/>
      <color rgb="FFFFFF66"/>
      <color rgb="FFFFFFCC"/>
      <color rgb="FF99FF99"/>
      <color rgb="FF66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C4A6EF5-7AD9-4D55-9B31-EDABB2F6A5F8}" name="TblCheckbox" displayName="TblCheckbox" ref="A76:A78" totalsRowShown="0" headerRowDxfId="141">
  <autoFilter ref="A76:A78" xr:uid="{0F08CA39-1FEE-4956-95A3-330408511026}"/>
  <tableColumns count="1">
    <tableColumn id="1" xr3:uid="{106C877B-B4A7-4AF3-BBFE-AB5F65AF4EDA}" name="TblCheckbox"/>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azcourts.gov/Portals/31/AOCDRS10H2022.pdf?ver=2021-10-01-123004-923" TargetMode="External"/><Relationship Id="rId7" Type="http://schemas.openxmlformats.org/officeDocument/2006/relationships/printerSettings" Target="../printerSettings/printerSettings1.bin"/><Relationship Id="rId2" Type="http://schemas.openxmlformats.org/officeDocument/2006/relationships/hyperlink" Target="https://www.tucsonaz.gov/minimumwage" TargetMode="External"/><Relationship Id="rId1" Type="http://schemas.openxmlformats.org/officeDocument/2006/relationships/hyperlink" Target="https://www.azcourts.gov/Portals/22/admorder/Orders21/2021-131.pdf" TargetMode="External"/><Relationship Id="rId6" Type="http://schemas.openxmlformats.org/officeDocument/2006/relationships/hyperlink" Target="https://www.flagstaff.az.gov/3520/Minimum-Wage" TargetMode="External"/><Relationship Id="rId5" Type="http://schemas.openxmlformats.org/officeDocument/2006/relationships/hyperlink" Target="https://www.ncsl.org/research/labor-and-employment/state-minimum-wage-chart.aspx" TargetMode="External"/><Relationship Id="rId4" Type="http://schemas.openxmlformats.org/officeDocument/2006/relationships/hyperlink" Target="https://www.azcourts.gov/Portals/22/admorder/Orders21/2021-131.pdf"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santacruzcountyaz.gov/132/Clerk-of-the-Superior-Court" TargetMode="External"/><Relationship Id="rId13" Type="http://schemas.openxmlformats.org/officeDocument/2006/relationships/hyperlink" Target="https://www.cochise.az.gov/179/Clerk-of-the-Superior-Court" TargetMode="External"/><Relationship Id="rId18" Type="http://schemas.openxmlformats.org/officeDocument/2006/relationships/hyperlink" Target="https://www.gilacountyaz.gov/government/courts/clerk_of_the_court/index.php" TargetMode="External"/><Relationship Id="rId26" Type="http://schemas.openxmlformats.org/officeDocument/2006/relationships/hyperlink" Target="https://www.mohavecourts.com/clerk/homepage.htm" TargetMode="External"/><Relationship Id="rId3" Type="http://schemas.openxmlformats.org/officeDocument/2006/relationships/hyperlink" Target="https://www.santacruzcountyaz.gov/132/Clerk-of-the-Superior-Court" TargetMode="External"/><Relationship Id="rId21" Type="http://schemas.openxmlformats.org/officeDocument/2006/relationships/hyperlink" Target="https://www.co.greenlee.az.us/elected-officials/courts/clerk-of-the-courts-home" TargetMode="External"/><Relationship Id="rId7" Type="http://schemas.openxmlformats.org/officeDocument/2006/relationships/hyperlink" Target="https://coscpinalcountyaz.gov/" TargetMode="External"/><Relationship Id="rId12" Type="http://schemas.openxmlformats.org/officeDocument/2006/relationships/hyperlink" Target="https://www.apachecountyaz.gov/Clerk-of-the-Court" TargetMode="External"/><Relationship Id="rId17" Type="http://schemas.openxmlformats.org/officeDocument/2006/relationships/hyperlink" Target="https://www.gilacountyaz.gov/government/courts/clerk_of_the_court/index.php" TargetMode="External"/><Relationship Id="rId25" Type="http://schemas.openxmlformats.org/officeDocument/2006/relationships/hyperlink" Target="https://www.mohavecourts.com/clerk/homepage.htm" TargetMode="External"/><Relationship Id="rId2" Type="http://schemas.openxmlformats.org/officeDocument/2006/relationships/hyperlink" Target="https://coscpinalcountyaz.gov/" TargetMode="External"/><Relationship Id="rId16" Type="http://schemas.openxmlformats.org/officeDocument/2006/relationships/hyperlink" Target="https://www.coconino.az.gov/132/Clerk-of-the-Superior-Court" TargetMode="External"/><Relationship Id="rId20" Type="http://schemas.openxmlformats.org/officeDocument/2006/relationships/hyperlink" Target="https://www.graham.az.gov/186/Clerk-of-the-Superior-Court" TargetMode="External"/><Relationship Id="rId29" Type="http://schemas.openxmlformats.org/officeDocument/2006/relationships/hyperlink" Target="mailto:COC_childsupportweb@coc.pima.gov" TargetMode="External"/><Relationship Id="rId1" Type="http://schemas.openxmlformats.org/officeDocument/2006/relationships/hyperlink" Target="https://www.clerkofcourt.maricopa.gov/" TargetMode="External"/><Relationship Id="rId6" Type="http://schemas.openxmlformats.org/officeDocument/2006/relationships/hyperlink" Target="https://www.clerkofcourt.maricopa.gov/" TargetMode="External"/><Relationship Id="rId11" Type="http://schemas.openxmlformats.org/officeDocument/2006/relationships/hyperlink" Target="https://www.apachecountyaz.gov/Clerk-of-the-Court" TargetMode="External"/><Relationship Id="rId24" Type="http://schemas.openxmlformats.org/officeDocument/2006/relationships/hyperlink" Target="http://www.lapazsuperiorcourtclerk.com/index.html" TargetMode="External"/><Relationship Id="rId5" Type="http://schemas.openxmlformats.org/officeDocument/2006/relationships/hyperlink" Target="https://courts.yavapaiaz.gov/clerk/" TargetMode="External"/><Relationship Id="rId15" Type="http://schemas.openxmlformats.org/officeDocument/2006/relationships/hyperlink" Target="https://www.coconino.az.gov/132/Clerk-of-the-Superior-Court" TargetMode="External"/><Relationship Id="rId23" Type="http://schemas.openxmlformats.org/officeDocument/2006/relationships/hyperlink" Target="http://www.lapazsuperiorcourtclerk.com/index.html" TargetMode="External"/><Relationship Id="rId28" Type="http://schemas.openxmlformats.org/officeDocument/2006/relationships/hyperlink" Target="https://www.navajocountyaz.gov/Departments/Clerk-of-the-Court" TargetMode="External"/><Relationship Id="rId10" Type="http://schemas.openxmlformats.org/officeDocument/2006/relationships/hyperlink" Target="https://courts.yavapaiaz.gov/clerk/" TargetMode="External"/><Relationship Id="rId19" Type="http://schemas.openxmlformats.org/officeDocument/2006/relationships/hyperlink" Target="https://www.graham.az.gov/186/Clerk-of-the-Superior-Court" TargetMode="External"/><Relationship Id="rId31" Type="http://schemas.openxmlformats.org/officeDocument/2006/relationships/printerSettings" Target="../printerSettings/printerSettings9.bin"/><Relationship Id="rId4" Type="http://schemas.openxmlformats.org/officeDocument/2006/relationships/hyperlink" Target="https://www.yumacountyaz.gov/government/courts/clerk-of-superior-court" TargetMode="External"/><Relationship Id="rId9" Type="http://schemas.openxmlformats.org/officeDocument/2006/relationships/hyperlink" Target="https://www.yumacountyaz.gov/government/courts/clerk-of-superior-court" TargetMode="External"/><Relationship Id="rId14" Type="http://schemas.openxmlformats.org/officeDocument/2006/relationships/hyperlink" Target="https://www.cochise.az.gov/179/Clerk-of-the-Superior-Court" TargetMode="External"/><Relationship Id="rId22" Type="http://schemas.openxmlformats.org/officeDocument/2006/relationships/hyperlink" Target="https://www.co.greenlee.az.us/elected-officials/courts/clerk-of-the-courts-home" TargetMode="External"/><Relationship Id="rId27" Type="http://schemas.openxmlformats.org/officeDocument/2006/relationships/hyperlink" Target="https://www.navajocountyaz.gov/Departments/Clerk-of-the-Court" TargetMode="External"/><Relationship Id="rId30" Type="http://schemas.openxmlformats.org/officeDocument/2006/relationships/hyperlink" Target="mailto:COC_childsupportweb@coc.pima.gov"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familysupportcenter.maricopa.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AK323"/>
  <sheetViews>
    <sheetView showGridLines="0" tabSelected="1" zoomScaleNormal="100" workbookViewId="0">
      <pane ySplit="1" topLeftCell="A2" activePane="bottomLeft" state="frozen"/>
      <selection activeCell="F10" sqref="F10:J10"/>
      <selection pane="bottomLeft" activeCell="F10" sqref="F10:J10"/>
    </sheetView>
  </sheetViews>
  <sheetFormatPr defaultColWidth="3.33203125" defaultRowHeight="13.2" x14ac:dyDescent="0.25"/>
  <cols>
    <col min="1" max="1" width="1.6640625" style="5" customWidth="1"/>
    <col min="2" max="6" width="3.6640625" style="5" customWidth="1"/>
    <col min="7" max="7" width="4.6640625" style="5" customWidth="1"/>
    <col min="8" max="9" width="5.33203125" style="5" customWidth="1"/>
    <col min="10" max="10" width="3.5546875" style="5" customWidth="1"/>
    <col min="11" max="11" width="3.6640625" style="5" customWidth="1"/>
    <col min="12" max="12" width="4" style="5" customWidth="1"/>
    <col min="13" max="27" width="3.6640625" style="5" customWidth="1"/>
    <col min="28" max="28" width="10.33203125" style="5" bestFit="1" customWidth="1"/>
    <col min="29" max="29" width="5.6640625" style="5" customWidth="1"/>
    <col min="30" max="36" width="15.6640625" style="5" customWidth="1"/>
    <col min="37" max="90" width="10.6640625" style="5" customWidth="1"/>
    <col min="91" max="16384" width="3.33203125" style="5"/>
  </cols>
  <sheetData>
    <row r="1" spans="1:29" s="395" customFormat="1" ht="30" customHeight="1" thickBot="1" x14ac:dyDescent="0.3">
      <c r="A1" s="734"/>
      <c r="B1" s="1154" t="s">
        <v>0</v>
      </c>
      <c r="C1" s="1155"/>
      <c r="D1" s="1155"/>
      <c r="E1" s="1155"/>
      <c r="F1" s="1155"/>
      <c r="G1" s="1155"/>
      <c r="H1" s="1155"/>
      <c r="I1" s="1156" t="s">
        <v>1</v>
      </c>
      <c r="J1" s="1157"/>
      <c r="K1" s="1157"/>
      <c r="L1" s="1157"/>
      <c r="M1" s="1158" t="str">
        <f>"Version " &amp; Version</f>
        <v>Version 2.1.6</v>
      </c>
      <c r="N1" s="1158"/>
      <c r="O1" s="1158"/>
      <c r="P1" s="1158"/>
      <c r="Q1" s="1158"/>
      <c r="R1" s="1158"/>
      <c r="S1" s="1158"/>
      <c r="T1" s="1158"/>
      <c r="U1" s="1158"/>
      <c r="V1" s="1158"/>
      <c r="W1" s="1158"/>
      <c r="X1" s="1158"/>
      <c r="Y1" s="1158"/>
      <c r="Z1" s="1158"/>
      <c r="AA1" s="1158"/>
      <c r="AB1" s="397"/>
      <c r="AC1" s="397"/>
    </row>
    <row r="2" spans="1:29" ht="15" customHeight="1" x14ac:dyDescent="0.25">
      <c r="A2" s="648"/>
      <c r="B2" s="997" t="s">
        <v>2</v>
      </c>
      <c r="C2" s="863"/>
      <c r="D2" s="863"/>
      <c r="E2" s="863"/>
      <c r="F2" s="863"/>
      <c r="G2" s="863"/>
      <c r="H2" s="863"/>
      <c r="I2" s="863"/>
      <c r="J2" s="863"/>
      <c r="K2" s="863"/>
      <c r="L2" s="863"/>
      <c r="M2" s="863"/>
      <c r="N2" s="863"/>
      <c r="O2" s="863"/>
      <c r="P2" s="863"/>
      <c r="Q2" s="863"/>
      <c r="R2" s="863"/>
      <c r="S2" s="863"/>
      <c r="T2" s="863"/>
      <c r="U2" s="863"/>
      <c r="V2" s="863"/>
      <c r="W2" s="863"/>
      <c r="X2" s="863"/>
      <c r="Y2" s="863"/>
      <c r="Z2" s="863"/>
      <c r="AA2" s="998"/>
      <c r="AB2" s="590"/>
      <c r="AC2" s="590"/>
    </row>
    <row r="3" spans="1:29" ht="15" customHeight="1" x14ac:dyDescent="0.25">
      <c r="A3" s="950"/>
      <c r="B3" s="1175"/>
      <c r="C3" s="1176"/>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7"/>
      <c r="AB3" s="590"/>
      <c r="AC3" s="590"/>
    </row>
    <row r="4" spans="1:29" ht="15" customHeight="1" x14ac:dyDescent="0.25">
      <c r="A4" s="951"/>
      <c r="B4" s="1171"/>
      <c r="C4" s="1004" t="s">
        <v>3</v>
      </c>
      <c r="D4" s="1005"/>
      <c r="E4" s="957" t="s">
        <v>4</v>
      </c>
      <c r="F4" s="873"/>
      <c r="G4" s="873"/>
      <c r="H4" s="873"/>
      <c r="I4" s="873"/>
      <c r="J4" s="873"/>
      <c r="K4" s="873"/>
      <c r="L4" s="873"/>
      <c r="M4" s="873"/>
      <c r="N4" s="873"/>
      <c r="O4" s="873"/>
      <c r="P4" s="873"/>
      <c r="Q4" s="873"/>
      <c r="R4" s="873"/>
      <c r="S4" s="873"/>
      <c r="T4" s="873"/>
      <c r="U4" s="873"/>
      <c r="V4" s="873"/>
      <c r="W4" s="873"/>
      <c r="X4" s="873"/>
      <c r="Y4" s="873"/>
      <c r="Z4" s="873"/>
      <c r="AA4" s="874"/>
      <c r="AB4" s="590"/>
      <c r="AC4" s="590"/>
    </row>
    <row r="5" spans="1:29" ht="15" customHeight="1" x14ac:dyDescent="0.25">
      <c r="A5" s="951"/>
      <c r="B5" s="1172"/>
      <c r="C5" s="1006" t="s">
        <v>5</v>
      </c>
      <c r="D5" s="1007"/>
      <c r="E5" s="957" t="s">
        <v>6</v>
      </c>
      <c r="F5" s="873"/>
      <c r="G5" s="873"/>
      <c r="H5" s="873"/>
      <c r="I5" s="873"/>
      <c r="J5" s="873"/>
      <c r="K5" s="873"/>
      <c r="L5" s="873"/>
      <c r="M5" s="873"/>
      <c r="N5" s="873"/>
      <c r="O5" s="873"/>
      <c r="P5" s="873"/>
      <c r="Q5" s="873"/>
      <c r="R5" s="873"/>
      <c r="S5" s="873"/>
      <c r="T5" s="873"/>
      <c r="U5" s="873"/>
      <c r="V5" s="873"/>
      <c r="W5" s="873"/>
      <c r="X5" s="873"/>
      <c r="Y5" s="873"/>
      <c r="Z5" s="873"/>
      <c r="AA5" s="874"/>
      <c r="AB5" s="590"/>
      <c r="AC5" s="590"/>
    </row>
    <row r="6" spans="1:29" ht="15" customHeight="1" x14ac:dyDescent="0.25">
      <c r="A6" s="951"/>
      <c r="B6" s="1172"/>
      <c r="C6" s="1169" t="s">
        <v>7</v>
      </c>
      <c r="D6" s="1170"/>
      <c r="E6" s="957" t="s">
        <v>8</v>
      </c>
      <c r="F6" s="873"/>
      <c r="G6" s="873"/>
      <c r="H6" s="873"/>
      <c r="I6" s="873"/>
      <c r="J6" s="873"/>
      <c r="K6" s="873"/>
      <c r="L6" s="873"/>
      <c r="M6" s="873"/>
      <c r="N6" s="873"/>
      <c r="O6" s="873"/>
      <c r="P6" s="873"/>
      <c r="Q6" s="873"/>
      <c r="R6" s="873"/>
      <c r="S6" s="873"/>
      <c r="T6" s="873"/>
      <c r="U6" s="873"/>
      <c r="V6" s="873"/>
      <c r="W6" s="873"/>
      <c r="X6" s="873"/>
      <c r="Y6" s="873"/>
      <c r="Z6" s="873"/>
      <c r="AA6" s="874"/>
      <c r="AB6" s="590"/>
      <c r="AC6" s="590"/>
    </row>
    <row r="7" spans="1:29" ht="15" customHeight="1" x14ac:dyDescent="0.25">
      <c r="A7" s="951"/>
      <c r="B7" s="981"/>
      <c r="C7" s="982"/>
      <c r="D7" s="982"/>
      <c r="E7" s="982"/>
      <c r="F7" s="982"/>
      <c r="G7" s="982"/>
      <c r="H7" s="982"/>
      <c r="I7" s="982"/>
      <c r="J7" s="982"/>
      <c r="K7" s="982"/>
      <c r="L7" s="982"/>
      <c r="M7" s="982"/>
      <c r="N7" s="982"/>
      <c r="O7" s="982"/>
      <c r="P7" s="982"/>
      <c r="Q7" s="982"/>
      <c r="R7" s="982"/>
      <c r="S7" s="982"/>
      <c r="T7" s="982"/>
      <c r="U7" s="982"/>
      <c r="V7" s="982"/>
      <c r="W7" s="982"/>
      <c r="X7" s="982"/>
      <c r="Y7" s="982"/>
      <c r="Z7" s="982"/>
      <c r="AA7" s="983"/>
      <c r="AB7" s="590"/>
      <c r="AC7" s="590"/>
    </row>
    <row r="8" spans="1:29" ht="15" customHeight="1" x14ac:dyDescent="0.25">
      <c r="A8" s="155"/>
      <c r="B8" s="1004" t="s">
        <v>9</v>
      </c>
      <c r="C8" s="1173"/>
      <c r="D8" s="1173"/>
      <c r="E8" s="1173"/>
      <c r="F8" s="1173"/>
      <c r="G8" s="1173"/>
      <c r="H8" s="1173"/>
      <c r="I8" s="1173"/>
      <c r="J8" s="1173"/>
      <c r="K8" s="1173"/>
      <c r="L8" s="1173"/>
      <c r="M8" s="1173"/>
      <c r="N8" s="1173"/>
      <c r="O8" s="1173"/>
      <c r="P8" s="1173"/>
      <c r="Q8" s="1173"/>
      <c r="R8" s="1173"/>
      <c r="S8" s="1173"/>
      <c r="T8" s="1173"/>
      <c r="U8" s="1173"/>
      <c r="V8" s="1173"/>
      <c r="W8" s="1173"/>
      <c r="X8" s="1173"/>
      <c r="Y8" s="1173"/>
      <c r="Z8" s="1173"/>
      <c r="AA8" s="1174"/>
      <c r="AB8" s="590"/>
      <c r="AC8" s="590"/>
    </row>
    <row r="9" spans="1:29" ht="15" customHeight="1" x14ac:dyDescent="0.25">
      <c r="A9" s="952"/>
      <c r="B9" s="1028"/>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3"/>
      <c r="AB9" s="590"/>
      <c r="AC9" s="590"/>
    </row>
    <row r="10" spans="1:29" ht="15" customHeight="1" x14ac:dyDescent="0.25">
      <c r="A10" s="951"/>
      <c r="B10" s="965" t="s">
        <v>10</v>
      </c>
      <c r="C10" s="966"/>
      <c r="D10" s="966"/>
      <c r="E10" s="987"/>
      <c r="F10" s="1008"/>
      <c r="G10" s="1009"/>
      <c r="H10" s="1009"/>
      <c r="I10" s="1009"/>
      <c r="J10" s="1010"/>
      <c r="K10" s="793" t="s">
        <v>11</v>
      </c>
      <c r="L10" s="1011" t="s">
        <v>12</v>
      </c>
      <c r="M10" s="1012"/>
      <c r="N10" s="1013"/>
      <c r="O10" s="355"/>
      <c r="P10" s="158"/>
      <c r="Q10" s="155" t="s">
        <v>13</v>
      </c>
      <c r="R10" s="155"/>
      <c r="S10" s="155"/>
      <c r="T10" s="155"/>
      <c r="U10" s="155"/>
      <c r="V10" s="155"/>
      <c r="W10" s="155"/>
      <c r="X10" s="155"/>
      <c r="Y10" s="155"/>
      <c r="Z10" s="155"/>
      <c r="AA10" s="209"/>
      <c r="AB10" s="590"/>
      <c r="AC10" s="590"/>
    </row>
    <row r="11" spans="1:29" ht="15" customHeight="1" x14ac:dyDescent="0.25">
      <c r="A11" s="951"/>
      <c r="B11" s="652"/>
      <c r="C11" s="210"/>
      <c r="D11" s="210"/>
      <c r="E11" s="210"/>
      <c r="F11" s="655"/>
      <c r="G11" s="655"/>
      <c r="H11" s="655"/>
      <c r="I11" s="655"/>
      <c r="J11" s="155"/>
      <c r="K11" s="155"/>
      <c r="L11" s="155"/>
      <c r="M11" s="155"/>
      <c r="N11" s="155"/>
      <c r="O11" s="155"/>
      <c r="P11" s="155"/>
      <c r="Q11" s="155"/>
      <c r="R11" s="155"/>
      <c r="S11" s="155"/>
      <c r="T11" s="735"/>
      <c r="U11" s="155"/>
      <c r="V11" s="155"/>
      <c r="W11" s="155"/>
      <c r="X11" s="155"/>
      <c r="Y11" s="155"/>
      <c r="Z11" s="155"/>
      <c r="AA11" s="209"/>
      <c r="AB11" s="590"/>
      <c r="AC11" s="590"/>
    </row>
    <row r="12" spans="1:29" ht="15" customHeight="1" x14ac:dyDescent="0.25">
      <c r="A12" s="951"/>
      <c r="B12" s="965" t="s">
        <v>14</v>
      </c>
      <c r="C12" s="966"/>
      <c r="D12" s="966"/>
      <c r="E12" s="987"/>
      <c r="F12" s="988"/>
      <c r="G12" s="989"/>
      <c r="H12" s="989"/>
      <c r="I12" s="989"/>
      <c r="J12" s="989"/>
      <c r="K12" s="989"/>
      <c r="L12" s="989"/>
      <c r="M12" s="989"/>
      <c r="N12" s="990"/>
      <c r="O12" s="735"/>
      <c r="P12" s="590"/>
      <c r="Q12" s="656"/>
      <c r="R12" s="206"/>
      <c r="S12" s="656"/>
      <c r="T12" s="155"/>
      <c r="U12" s="655"/>
      <c r="V12" s="656"/>
      <c r="W12" s="656"/>
      <c r="X12" s="735"/>
      <c r="Y12" s="655"/>
      <c r="Z12" s="656"/>
      <c r="AA12" s="313"/>
      <c r="AB12" s="590"/>
      <c r="AC12" s="590"/>
    </row>
    <row r="13" spans="1:29" ht="15" customHeight="1" x14ac:dyDescent="0.25">
      <c r="A13" s="951"/>
      <c r="B13" s="652"/>
      <c r="C13" s="210"/>
      <c r="D13" s="210"/>
      <c r="E13" s="210"/>
      <c r="F13" s="155"/>
      <c r="G13" s="155"/>
      <c r="H13" s="155"/>
      <c r="I13" s="155"/>
      <c r="J13" s="155"/>
      <c r="K13" s="155"/>
      <c r="L13" s="155"/>
      <c r="M13" s="155"/>
      <c r="N13" s="155"/>
      <c r="O13" s="155"/>
      <c r="P13" s="155"/>
      <c r="Q13" s="155"/>
      <c r="R13" s="155"/>
      <c r="S13" s="155"/>
      <c r="T13" s="155"/>
      <c r="U13" s="155"/>
      <c r="V13" s="155"/>
      <c r="W13" s="155"/>
      <c r="X13" s="155"/>
      <c r="Y13" s="155"/>
      <c r="Z13" s="155"/>
      <c r="AA13" s="209"/>
      <c r="AB13" s="590"/>
      <c r="AC13" s="590"/>
    </row>
    <row r="14" spans="1:29" ht="15" customHeight="1" x14ac:dyDescent="0.25">
      <c r="A14" s="951"/>
      <c r="B14" s="965" t="s">
        <v>15</v>
      </c>
      <c r="C14" s="966"/>
      <c r="D14" s="966"/>
      <c r="E14" s="966"/>
      <c r="F14" s="988"/>
      <c r="G14" s="989"/>
      <c r="H14" s="989"/>
      <c r="I14" s="989"/>
      <c r="J14" s="989"/>
      <c r="K14" s="989"/>
      <c r="L14" s="989"/>
      <c r="M14" s="989"/>
      <c r="N14" s="990"/>
      <c r="O14" s="155"/>
      <c r="P14" s="592"/>
      <c r="Q14" s="155"/>
      <c r="R14" s="206"/>
      <c r="S14" s="155"/>
      <c r="T14" s="155"/>
      <c r="U14" s="155"/>
      <c r="V14" s="155"/>
      <c r="W14" s="155"/>
      <c r="X14" s="155"/>
      <c r="Y14" s="155"/>
      <c r="Z14" s="155"/>
      <c r="AA14" s="209"/>
      <c r="AB14" s="590"/>
      <c r="AC14" s="590"/>
    </row>
    <row r="15" spans="1:29" ht="15" customHeight="1" x14ac:dyDescent="0.25">
      <c r="A15" s="951"/>
      <c r="B15" s="211"/>
      <c r="C15" s="212"/>
      <c r="D15" s="212"/>
      <c r="E15" s="212"/>
      <c r="F15" s="636"/>
      <c r="G15" s="636"/>
      <c r="H15" s="636"/>
      <c r="I15" s="636"/>
      <c r="J15" s="636"/>
      <c r="K15" s="636"/>
      <c r="L15" s="636"/>
      <c r="M15" s="155"/>
      <c r="N15" s="155"/>
      <c r="O15" s="155"/>
      <c r="P15" s="155"/>
      <c r="Q15" s="155"/>
      <c r="R15" s="155"/>
      <c r="S15" s="155"/>
      <c r="T15" s="155"/>
      <c r="U15" s="155"/>
      <c r="V15" s="155"/>
      <c r="W15" s="155"/>
      <c r="X15" s="155"/>
      <c r="Y15" s="155"/>
      <c r="Z15" s="155"/>
      <c r="AA15" s="209"/>
      <c r="AB15" s="590"/>
      <c r="AC15" s="590"/>
    </row>
    <row r="16" spans="1:29" ht="15" customHeight="1" x14ac:dyDescent="0.25">
      <c r="A16" s="951"/>
      <c r="B16" s="965" t="s">
        <v>16</v>
      </c>
      <c r="C16" s="966"/>
      <c r="D16" s="966"/>
      <c r="E16" s="966"/>
      <c r="F16" s="963" t="s">
        <v>17</v>
      </c>
      <c r="G16" s="964"/>
      <c r="H16" s="964"/>
      <c r="I16" s="964"/>
      <c r="J16" s="964"/>
      <c r="K16" s="964"/>
      <c r="L16" s="962"/>
      <c r="M16" s="960" t="s">
        <v>18</v>
      </c>
      <c r="N16" s="961"/>
      <c r="O16" s="961"/>
      <c r="P16" s="961"/>
      <c r="Q16" s="961"/>
      <c r="R16" s="880"/>
      <c r="S16" s="976" t="s">
        <v>19</v>
      </c>
      <c r="T16" s="964"/>
      <c r="U16" s="970" t="s">
        <v>20</v>
      </c>
      <c r="V16" s="964"/>
      <c r="W16" s="964"/>
      <c r="X16" s="964"/>
      <c r="Y16" s="964"/>
      <c r="Z16" s="964"/>
      <c r="AA16" s="209"/>
      <c r="AB16" s="590"/>
      <c r="AC16" s="590"/>
    </row>
    <row r="17" spans="1:37" ht="15" customHeight="1" x14ac:dyDescent="0.25">
      <c r="A17" s="951"/>
      <c r="B17" s="589"/>
      <c r="C17" s="155"/>
      <c r="D17" s="155"/>
      <c r="E17" s="155"/>
      <c r="F17" s="964"/>
      <c r="G17" s="964"/>
      <c r="H17" s="964"/>
      <c r="I17" s="964"/>
      <c r="J17" s="964"/>
      <c r="K17" s="964"/>
      <c r="L17" s="962"/>
      <c r="M17" s="962"/>
      <c r="N17" s="961"/>
      <c r="O17" s="961"/>
      <c r="P17" s="961"/>
      <c r="Q17" s="961"/>
      <c r="R17" s="880"/>
      <c r="S17" s="880"/>
      <c r="T17" s="964"/>
      <c r="U17" s="970" t="s">
        <v>21</v>
      </c>
      <c r="V17" s="970"/>
      <c r="W17" s="970"/>
      <c r="X17" s="970" t="s">
        <v>22</v>
      </c>
      <c r="Y17" s="971"/>
      <c r="Z17" s="971"/>
      <c r="AA17" s="209"/>
      <c r="AB17" s="590"/>
      <c r="AC17" s="590"/>
      <c r="AD17" s="206"/>
      <c r="AE17" s="206"/>
      <c r="AF17" s="206"/>
      <c r="AG17" s="206"/>
      <c r="AH17" s="206"/>
      <c r="AI17" s="206"/>
      <c r="AJ17" s="206"/>
      <c r="AK17" s="206"/>
    </row>
    <row r="18" spans="1:37" ht="15" customHeight="1" x14ac:dyDescent="0.25">
      <c r="A18" s="951"/>
      <c r="B18" s="957"/>
      <c r="C18" s="953"/>
      <c r="D18" s="953"/>
      <c r="E18" s="953"/>
      <c r="F18" s="958"/>
      <c r="G18" s="959"/>
      <c r="H18" s="959"/>
      <c r="I18" s="959"/>
      <c r="J18" s="959"/>
      <c r="K18" s="959"/>
      <c r="L18" s="959"/>
      <c r="M18" s="967"/>
      <c r="N18" s="968"/>
      <c r="O18" s="968"/>
      <c r="P18" s="968"/>
      <c r="Q18" s="969"/>
      <c r="R18" s="969"/>
      <c r="S18" s="980"/>
      <c r="T18" s="980"/>
      <c r="U18" s="974" t="str">
        <f ca="1">IF(AND(NOT(ISNUMBER($M$18)),NOT(ISNUMBER($M$19)),NOT(ISNUMBER($M$20)),NOT(ISNUMBER($M$21)),NOT(ISNUMBER($M$22)),NOT(ISNUMBER($M$23))),"",IF(AND(ISNUMBER(M18),(TODAY()-MAX($M$18:$M$23))/365.25&gt;19),"Over 19",IF(AND(MONTH(TODAY())&lt;6,M18=MAX($M$18:$M$23)),VLOOKUP(YEAR(TODAY()),PTD!$B$33:'PTD'!$F$52,3,FALSE),IF(M18=MAX($M$18:$M$23),VLOOKUP(YEAR(TODAY()),PTD!$B$33:'PTD'!$F$52,5,FALSE),""))))</f>
        <v/>
      </c>
      <c r="V18" s="975"/>
      <c r="W18" s="975"/>
      <c r="X18" s="1131"/>
      <c r="Y18" s="1132"/>
      <c r="Z18" s="1133"/>
      <c r="AA18" s="209"/>
      <c r="AB18" s="590"/>
      <c r="AC18" s="590"/>
      <c r="AD18" s="206"/>
      <c r="AE18" s="206"/>
      <c r="AF18" s="206"/>
      <c r="AG18" s="206"/>
      <c r="AH18" s="206"/>
      <c r="AI18" s="206"/>
      <c r="AJ18" s="206"/>
      <c r="AK18" s="206"/>
    </row>
    <row r="19" spans="1:37" ht="15" customHeight="1" x14ac:dyDescent="0.25">
      <c r="A19" s="951"/>
      <c r="B19" s="589"/>
      <c r="C19" s="155"/>
      <c r="D19" s="155"/>
      <c r="E19" s="155"/>
      <c r="F19" s="958"/>
      <c r="G19" s="959"/>
      <c r="H19" s="959"/>
      <c r="I19" s="959"/>
      <c r="J19" s="959"/>
      <c r="K19" s="959"/>
      <c r="L19" s="959"/>
      <c r="M19" s="967"/>
      <c r="N19" s="968"/>
      <c r="O19" s="968"/>
      <c r="P19" s="968"/>
      <c r="Q19" s="969"/>
      <c r="R19" s="969"/>
      <c r="S19" s="980"/>
      <c r="T19" s="980"/>
      <c r="U19" s="974" t="str">
        <f ca="1">IF(AND(NOT(ISNUMBER($M$18)),NOT(ISNUMBER($M$19)),NOT(ISNUMBER($M$20)),NOT(ISNUMBER($M$21)),NOT(ISNUMBER($M$22)),NOT(ISNUMBER($M$23))),"",IF(AND(ISNUMBER(M19),(TODAY()-MAX($M$18:$M$23))/365.25&gt;19),"Over 19",IF(AND(MONTH(TODAY())&lt;6,M19=MAX($M$18:$M$23)),VLOOKUP(YEAR(TODAY()),PTD!$B$33:'PTD'!$F$52,3,FALSE),IF(M19=MAX($M$18:$M$23),VLOOKUP(YEAR(TODAY()),PTD!$B$33:'PTD'!$F$52,5,FALSE),""))))</f>
        <v/>
      </c>
      <c r="V19" s="975"/>
      <c r="W19" s="975"/>
      <c r="X19" s="1134"/>
      <c r="Y19" s="1134"/>
      <c r="Z19" s="1135"/>
      <c r="AA19" s="209"/>
      <c r="AB19" s="590"/>
      <c r="AC19" s="590"/>
      <c r="AD19" s="206"/>
      <c r="AE19" s="206"/>
      <c r="AF19" s="206"/>
      <c r="AG19" s="206"/>
      <c r="AH19" s="206"/>
      <c r="AI19" s="206"/>
      <c r="AJ19" s="206"/>
      <c r="AK19" s="206"/>
    </row>
    <row r="20" spans="1:37" ht="15" customHeight="1" x14ac:dyDescent="0.25">
      <c r="A20" s="951"/>
      <c r="B20" s="589"/>
      <c r="C20" s="155"/>
      <c r="D20" s="155"/>
      <c r="E20" s="155"/>
      <c r="F20" s="958"/>
      <c r="G20" s="959"/>
      <c r="H20" s="959"/>
      <c r="I20" s="959"/>
      <c r="J20" s="959"/>
      <c r="K20" s="959"/>
      <c r="L20" s="959"/>
      <c r="M20" s="967"/>
      <c r="N20" s="968"/>
      <c r="O20" s="968"/>
      <c r="P20" s="968"/>
      <c r="Q20" s="969"/>
      <c r="R20" s="969"/>
      <c r="S20" s="980"/>
      <c r="T20" s="980"/>
      <c r="U20" s="974" t="str">
        <f ca="1">IF(AND(NOT(ISNUMBER($M$18)),NOT(ISNUMBER($M$19)),NOT(ISNUMBER($M$20)),NOT(ISNUMBER($M$21)),NOT(ISNUMBER($M$22)),NOT(ISNUMBER($M$23))),"",IF(AND(ISNUMBER(M20),(TODAY()-MAX($M$18:$M$23))/365.25&gt;19),"Over 19",IF(AND(MONTH(TODAY())&lt;6,M20=MAX($M$18:$M$23)),VLOOKUP(YEAR(TODAY()),PTD!$B$33:'PTD'!$F$52,3,FALSE),IF(M20=MAX($M$18:$M$23),VLOOKUP(YEAR(TODAY()),PTD!$B$33:'PTD'!$F$52,5,FALSE),""))))</f>
        <v/>
      </c>
      <c r="V20" s="975"/>
      <c r="W20" s="975"/>
      <c r="X20" s="1134"/>
      <c r="Y20" s="1134"/>
      <c r="Z20" s="1135"/>
      <c r="AA20" s="209"/>
      <c r="AB20" s="590"/>
      <c r="AC20" s="590"/>
      <c r="AD20" s="206"/>
      <c r="AE20" s="206"/>
      <c r="AF20" s="206"/>
      <c r="AG20" s="206"/>
      <c r="AH20" s="206"/>
      <c r="AI20" s="206"/>
      <c r="AJ20" s="206"/>
      <c r="AK20" s="206"/>
    </row>
    <row r="21" spans="1:37" ht="15" customHeight="1" x14ac:dyDescent="0.25">
      <c r="A21" s="951"/>
      <c r="B21" s="589"/>
      <c r="C21" s="155"/>
      <c r="D21" s="155"/>
      <c r="E21" s="155"/>
      <c r="F21" s="958"/>
      <c r="G21" s="959"/>
      <c r="H21" s="959"/>
      <c r="I21" s="959"/>
      <c r="J21" s="959"/>
      <c r="K21" s="959"/>
      <c r="L21" s="959"/>
      <c r="M21" s="967"/>
      <c r="N21" s="968"/>
      <c r="O21" s="968"/>
      <c r="P21" s="968"/>
      <c r="Q21" s="969"/>
      <c r="R21" s="969"/>
      <c r="S21" s="980"/>
      <c r="T21" s="980"/>
      <c r="U21" s="974" t="str">
        <f ca="1">IF(AND(NOT(ISNUMBER($M$18)),NOT(ISNUMBER($M$19)),NOT(ISNUMBER($M$20)),NOT(ISNUMBER($M$21)),NOT(ISNUMBER($M$22)),NOT(ISNUMBER($M$23))),"",IF(AND(ISNUMBER(M21),(TODAY()-MAX($M$18:$M$23))/365.25&gt;19),"Over 19",IF(AND(MONTH(TODAY())&lt;6,M21=MAX($M$18:$M$23)),VLOOKUP(YEAR(TODAY()),PTD!$B$33:'PTD'!$F$52,3,FALSE),IF(M21=MAX($M$18:$M$23),VLOOKUP(YEAR(TODAY()),PTD!$B$33:'PTD'!$F$52,5,FALSE),""))))</f>
        <v/>
      </c>
      <c r="V21" s="975"/>
      <c r="W21" s="975"/>
      <c r="X21" s="1134"/>
      <c r="Y21" s="1134"/>
      <c r="Z21" s="1135"/>
      <c r="AA21" s="209"/>
      <c r="AB21" s="590"/>
      <c r="AC21" s="590"/>
      <c r="AD21" s="206"/>
      <c r="AE21" s="206"/>
      <c r="AF21" s="206"/>
      <c r="AG21" s="206"/>
      <c r="AH21" s="206"/>
      <c r="AI21" s="206"/>
      <c r="AJ21" s="206"/>
      <c r="AK21" s="227"/>
    </row>
    <row r="22" spans="1:37" ht="15" customHeight="1" x14ac:dyDescent="0.25">
      <c r="A22" s="951"/>
      <c r="B22" s="589"/>
      <c r="C22" s="155"/>
      <c r="D22" s="155"/>
      <c r="E22" s="155"/>
      <c r="F22" s="958"/>
      <c r="G22" s="959"/>
      <c r="H22" s="959"/>
      <c r="I22" s="959"/>
      <c r="J22" s="959"/>
      <c r="K22" s="959"/>
      <c r="L22" s="959"/>
      <c r="M22" s="967"/>
      <c r="N22" s="968"/>
      <c r="O22" s="968"/>
      <c r="P22" s="968"/>
      <c r="Q22" s="969"/>
      <c r="R22" s="969"/>
      <c r="S22" s="980"/>
      <c r="T22" s="980"/>
      <c r="U22" s="974" t="str">
        <f ca="1">IF(AND(NOT(ISNUMBER($M$18)),NOT(ISNUMBER($M$19)),NOT(ISNUMBER($M$20)),NOT(ISNUMBER($M$21)),NOT(ISNUMBER($M$22)),NOT(ISNUMBER($M$23))),"",IF(AND(ISNUMBER(M22),(TODAY()-MAX($M$18:$M$23))/365.25&gt;19),"Over 19",IF(AND(MONTH(TODAY())&lt;6,M22=MAX($M$18:$M$23)),VLOOKUP(YEAR(TODAY()),PTD!$B$33:'PTD'!$F$52,3,FALSE),IF(M22=MAX($M$18:$M$23),VLOOKUP(YEAR(TODAY()),PTD!$B$33:'PTD'!$F$52,5,FALSE),""))))</f>
        <v/>
      </c>
      <c r="V22" s="975"/>
      <c r="W22" s="975"/>
      <c r="X22" s="1134"/>
      <c r="Y22" s="1134"/>
      <c r="Z22" s="1135"/>
      <c r="AA22" s="209"/>
      <c r="AB22" s="590"/>
      <c r="AC22" s="590"/>
      <c r="AD22" s="206"/>
      <c r="AE22" s="206"/>
      <c r="AF22" s="206"/>
      <c r="AG22" s="206"/>
      <c r="AH22" s="206"/>
      <c r="AI22" s="206"/>
      <c r="AJ22" s="206"/>
      <c r="AK22" s="206"/>
    </row>
    <row r="23" spans="1:37" ht="15" customHeight="1" x14ac:dyDescent="0.25">
      <c r="A23" s="951"/>
      <c r="B23" s="589"/>
      <c r="C23" s="155"/>
      <c r="D23" s="155"/>
      <c r="E23" s="155"/>
      <c r="F23" s="958"/>
      <c r="G23" s="959"/>
      <c r="H23" s="959"/>
      <c r="I23" s="959"/>
      <c r="J23" s="959"/>
      <c r="K23" s="959"/>
      <c r="L23" s="959"/>
      <c r="M23" s="967"/>
      <c r="N23" s="968"/>
      <c r="O23" s="968"/>
      <c r="P23" s="968"/>
      <c r="Q23" s="969"/>
      <c r="R23" s="969"/>
      <c r="S23" s="980"/>
      <c r="T23" s="980"/>
      <c r="U23" s="974" t="str">
        <f ca="1">IF(AND(NOT(ISNUMBER($M$18)),NOT(ISNUMBER($M$19)),NOT(ISNUMBER($M$20)),NOT(ISNUMBER($M$21)),NOT(ISNUMBER($M$22)),NOT(ISNUMBER($M$23))),"",IF(AND(ISNUMBER(M23),(TODAY()-MAX($M$18:$M$23))/365.25&gt;19),"Over 19",IF(AND(MONTH(TODAY())&lt;6,M23=MAX($M$18:$M$23)),VLOOKUP(YEAR(TODAY()),PTD!$B$33:'PTD'!$F$52,3,FALSE),IF(M23=MAX($M$18:$M$23),VLOOKUP(YEAR(TODAY()),PTD!$B$33:'PTD'!$F$52,5,FALSE),""))))</f>
        <v/>
      </c>
      <c r="V23" s="975"/>
      <c r="W23" s="975"/>
      <c r="X23" s="1136"/>
      <c r="Y23" s="1136"/>
      <c r="Z23" s="1137"/>
      <c r="AA23" s="209"/>
      <c r="AB23" s="590"/>
      <c r="AC23" s="590"/>
      <c r="AD23" s="206"/>
      <c r="AE23" s="206"/>
      <c r="AF23" s="206"/>
      <c r="AG23" s="206"/>
      <c r="AH23" s="206"/>
      <c r="AI23" s="206"/>
      <c r="AJ23" s="206"/>
      <c r="AK23" s="206"/>
    </row>
    <row r="24" spans="1:37" ht="15" customHeight="1" x14ac:dyDescent="0.25">
      <c r="A24" s="951"/>
      <c r="B24" s="589"/>
      <c r="C24" s="155"/>
      <c r="D24" s="155"/>
      <c r="E24" s="155"/>
      <c r="F24" s="155"/>
      <c r="G24" s="155"/>
      <c r="H24" s="155"/>
      <c r="I24" s="963" t="s">
        <v>23</v>
      </c>
      <c r="J24" s="1129"/>
      <c r="K24" s="1129"/>
      <c r="L24" s="1130"/>
      <c r="M24" s="972" t="str">
        <f>IF(OR(ISNUMBER(M18),ISNUMBER(M19),ISNUMBER(M20),ISNUMBER(M21),ISNUMBER(M22),ISNUMBER(M23)),MAX(M18:M23),"")</f>
        <v/>
      </c>
      <c r="N24" s="973"/>
      <c r="O24" s="973"/>
      <c r="P24" s="973"/>
      <c r="Q24" s="973"/>
      <c r="R24" s="973"/>
      <c r="S24" s="1141" t="str">
        <f ca="1">IF(ISNUMBER(M24),(TODAY()-M24)/365.25,"")</f>
        <v/>
      </c>
      <c r="T24" s="1142"/>
      <c r="U24" s="984" t="str">
        <f ca="1">IF(AND(ISBLANK(M18),ISBLANK(M19),ISBLANK(M20),ISBLANK(M21),ISBLANK(M22),ISBLANK(M23)),"",IF(AND(OR(ISNUMBER(M18),ISNUMBER(M18),ISNUMBER(M18),ISNUMBER(M18),ISNUMBER(M18),ISNUMBER(M18)),((TODAY()-M24)/365.25&gt;19)),"Over 19",IF(OR(ISNUMBER(M18),ISNUMBER(M18),ISNUMBER(M18),ISNUMBER(M18),ISNUMBER(M18),ISNUMBER(M18)),MAX(U18:U23),"")))</f>
        <v/>
      </c>
      <c r="V24" s="985"/>
      <c r="W24" s="986"/>
      <c r="X24" s="1138"/>
      <c r="Y24" s="1139"/>
      <c r="Z24" s="1140"/>
      <c r="AA24" s="209"/>
      <c r="AB24" s="590"/>
      <c r="AC24" s="590"/>
      <c r="AD24" s="206"/>
      <c r="AE24" s="206"/>
      <c r="AF24" s="206"/>
      <c r="AG24" s="206"/>
      <c r="AH24" s="206"/>
      <c r="AI24" s="206"/>
      <c r="AJ24" s="206"/>
      <c r="AK24" s="206"/>
    </row>
    <row r="25" spans="1:37" ht="15" customHeight="1" x14ac:dyDescent="0.25">
      <c r="A25" s="951"/>
      <c r="B25" s="589"/>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209"/>
      <c r="AB25" s="590"/>
      <c r="AC25" s="590"/>
      <c r="AD25" s="206"/>
      <c r="AE25" s="206"/>
      <c r="AF25" s="206"/>
      <c r="AG25" s="206"/>
      <c r="AH25" s="206"/>
      <c r="AI25" s="206"/>
      <c r="AJ25" s="206"/>
      <c r="AK25" s="206"/>
    </row>
    <row r="26" spans="1:37" s="570" customFormat="1" ht="15" customHeight="1" x14ac:dyDescent="0.25">
      <c r="A26" s="951"/>
      <c r="B26" s="957" t="s">
        <v>24</v>
      </c>
      <c r="C26" s="951"/>
      <c r="D26" s="951"/>
      <c r="E26" s="951"/>
      <c r="F26" s="951"/>
      <c r="G26" s="951"/>
      <c r="H26" s="951"/>
      <c r="I26" s="951"/>
      <c r="J26" s="951"/>
      <c r="K26" s="951"/>
      <c r="L26" s="951"/>
      <c r="M26" s="573"/>
      <c r="N26" s="1143"/>
      <c r="O26" s="1144"/>
      <c r="P26" s="1144"/>
      <c r="Q26" s="1144"/>
      <c r="R26" s="1144"/>
      <c r="S26" s="1144"/>
      <c r="T26" s="1144"/>
      <c r="U26" s="1144"/>
      <c r="V26" s="1144"/>
      <c r="W26" s="1145"/>
      <c r="X26" s="573"/>
      <c r="Y26" s="573"/>
      <c r="Z26" s="573"/>
      <c r="AA26" s="209"/>
      <c r="AB26" s="604"/>
      <c r="AC26" s="604"/>
      <c r="AD26" s="604"/>
      <c r="AE26" s="604"/>
      <c r="AF26" s="604"/>
      <c r="AG26" s="604"/>
      <c r="AH26" s="604"/>
      <c r="AI26" s="574"/>
      <c r="AJ26" s="604"/>
      <c r="AK26" s="604"/>
    </row>
    <row r="27" spans="1:37" s="570" customFormat="1" ht="15" customHeight="1" x14ac:dyDescent="0.25">
      <c r="A27" s="951"/>
      <c r="B27" s="1146"/>
      <c r="C27" s="947"/>
      <c r="D27" s="947"/>
      <c r="E27" s="947"/>
      <c r="F27" s="947"/>
      <c r="G27" s="947"/>
      <c r="H27" s="947"/>
      <c r="I27" s="947"/>
      <c r="J27" s="947"/>
      <c r="K27" s="947"/>
      <c r="L27" s="947"/>
      <c r="M27" s="947"/>
      <c r="N27" s="947"/>
      <c r="O27" s="947"/>
      <c r="P27" s="947"/>
      <c r="Q27" s="947"/>
      <c r="R27" s="947"/>
      <c r="S27" s="947"/>
      <c r="T27" s="947"/>
      <c r="U27" s="947"/>
      <c r="V27" s="947"/>
      <c r="W27" s="947"/>
      <c r="X27" s="947"/>
      <c r="Y27" s="947"/>
      <c r="Z27" s="947"/>
      <c r="AA27" s="1147"/>
      <c r="AB27" s="604"/>
      <c r="AC27" s="604"/>
      <c r="AD27" s="604"/>
      <c r="AE27" s="604"/>
      <c r="AF27" s="604"/>
      <c r="AG27" s="604"/>
      <c r="AH27" s="604"/>
      <c r="AI27" s="573"/>
      <c r="AJ27" s="604"/>
      <c r="AK27" s="604"/>
    </row>
    <row r="28" spans="1:37" s="570" customFormat="1" ht="15" customHeight="1" x14ac:dyDescent="0.25">
      <c r="A28" s="951"/>
      <c r="B28" s="1148" t="s">
        <v>25</v>
      </c>
      <c r="C28" s="886"/>
      <c r="D28" s="886"/>
      <c r="E28" s="886"/>
      <c r="F28" s="886"/>
      <c r="G28" s="886"/>
      <c r="H28" s="886"/>
      <c r="I28" s="886"/>
      <c r="J28" s="886"/>
      <c r="K28" s="886"/>
      <c r="L28" s="865"/>
      <c r="M28" s="874"/>
      <c r="N28" s="1149"/>
      <c r="O28" s="1150"/>
      <c r="P28" s="1150"/>
      <c r="Q28" s="1150"/>
      <c r="R28" s="1150"/>
      <c r="S28" s="1150"/>
      <c r="T28" s="1150"/>
      <c r="U28" s="1150"/>
      <c r="V28" s="1150"/>
      <c r="W28" s="1151"/>
      <c r="X28" s="573"/>
      <c r="Y28" s="573"/>
      <c r="Z28" s="573"/>
      <c r="AA28" s="209"/>
      <c r="AB28" s="604"/>
      <c r="AC28" s="604"/>
      <c r="AD28" s="604"/>
      <c r="AE28" s="604"/>
      <c r="AF28" s="604"/>
      <c r="AG28" s="604"/>
      <c r="AH28" s="604"/>
      <c r="AI28" s="573"/>
      <c r="AJ28" s="604"/>
      <c r="AK28" s="604"/>
    </row>
    <row r="29" spans="1:37" s="570" customFormat="1" ht="15" customHeight="1" x14ac:dyDescent="0.25">
      <c r="A29" s="951"/>
      <c r="B29" s="589"/>
      <c r="C29" s="593"/>
      <c r="D29" s="593"/>
      <c r="E29" s="593"/>
      <c r="F29" s="593"/>
      <c r="G29" s="593"/>
      <c r="H29" s="593"/>
      <c r="I29" s="593"/>
      <c r="J29" s="593"/>
      <c r="K29" s="593"/>
      <c r="L29" s="593"/>
      <c r="M29" s="593"/>
      <c r="N29" s="575"/>
      <c r="O29" s="575"/>
      <c r="P29" s="575"/>
      <c r="Q29" s="575"/>
      <c r="R29" s="575"/>
      <c r="S29" s="575"/>
      <c r="T29" s="575"/>
      <c r="U29" s="575"/>
      <c r="V29" s="575"/>
      <c r="W29" s="575"/>
      <c r="X29" s="573"/>
      <c r="Y29" s="573"/>
      <c r="Z29" s="573"/>
      <c r="AA29" s="209"/>
      <c r="AB29" s="604"/>
      <c r="AC29" s="604"/>
      <c r="AD29" s="604"/>
      <c r="AE29" s="604"/>
      <c r="AF29" s="604"/>
      <c r="AG29" s="604"/>
      <c r="AH29" s="604"/>
      <c r="AI29" s="573"/>
      <c r="AJ29" s="604"/>
      <c r="AK29" s="604"/>
    </row>
    <row r="30" spans="1:37" ht="15" customHeight="1" x14ac:dyDescent="0.25">
      <c r="A30" s="951"/>
      <c r="B30" s="643" t="s">
        <v>26</v>
      </c>
      <c r="C30" s="656"/>
      <c r="D30" s="656"/>
      <c r="E30" s="656"/>
      <c r="F30" s="656"/>
      <c r="G30" s="656"/>
      <c r="H30" s="656"/>
      <c r="I30" s="636"/>
      <c r="J30" s="636"/>
      <c r="K30" s="636"/>
      <c r="L30" s="636"/>
      <c r="M30" s="636"/>
      <c r="N30" s="405" t="s">
        <v>27</v>
      </c>
      <c r="O30" s="317"/>
      <c r="P30" s="589"/>
      <c r="Q30" s="573"/>
      <c r="R30" s="573"/>
      <c r="S30" s="573"/>
      <c r="T30" s="573"/>
      <c r="U30" s="860" t="s">
        <v>28</v>
      </c>
      <c r="V30" s="860"/>
      <c r="W30" s="860"/>
      <c r="X30" s="860"/>
      <c r="Y30" s="860"/>
      <c r="Z30" s="860"/>
      <c r="AA30" s="861"/>
      <c r="AB30" s="590"/>
      <c r="AC30" s="590"/>
      <c r="AD30" s="206"/>
      <c r="AE30" s="206"/>
      <c r="AF30" s="206"/>
      <c r="AG30" s="206"/>
      <c r="AH30" s="206"/>
      <c r="AI30" s="206"/>
      <c r="AJ30" s="206"/>
      <c r="AK30" s="206"/>
    </row>
    <row r="31" spans="1:37" ht="15" customHeight="1" x14ac:dyDescent="0.25">
      <c r="A31" s="951"/>
      <c r="B31" s="643"/>
      <c r="C31" s="656"/>
      <c r="D31" s="656"/>
      <c r="E31" s="656"/>
      <c r="F31" s="636"/>
      <c r="G31" s="656"/>
      <c r="H31" s="206"/>
      <c r="I31" s="655"/>
      <c r="J31" s="206"/>
      <c r="K31" s="656"/>
      <c r="L31" s="656"/>
      <c r="M31" s="656"/>
      <c r="N31" s="407" t="s">
        <v>29</v>
      </c>
      <c r="O31" s="1159"/>
      <c r="P31" s="1160"/>
      <c r="Q31" s="1161"/>
      <c r="R31" s="1162">
        <f>IF(ISBLANK(O30),County!D35,"")</f>
        <v>13.85</v>
      </c>
      <c r="S31" s="1163"/>
      <c r="T31" s="1164"/>
      <c r="U31" s="977" t="s">
        <v>30</v>
      </c>
      <c r="V31" s="978"/>
      <c r="W31" s="978"/>
      <c r="X31" s="978"/>
      <c r="Y31" s="978"/>
      <c r="Z31" s="978"/>
      <c r="AA31" s="979"/>
      <c r="AB31" s="592"/>
      <c r="AC31" s="590"/>
      <c r="AD31" s="206"/>
      <c r="AE31" s="206"/>
      <c r="AF31" s="206"/>
      <c r="AG31" s="206"/>
      <c r="AH31" s="206"/>
      <c r="AI31" s="206"/>
      <c r="AJ31" s="206"/>
      <c r="AK31" s="206"/>
    </row>
    <row r="32" spans="1:37" ht="15" customHeight="1" x14ac:dyDescent="0.25">
      <c r="A32" s="951"/>
      <c r="B32" s="310"/>
      <c r="C32" s="679"/>
      <c r="D32" s="679"/>
      <c r="E32" s="679"/>
      <c r="F32" s="679"/>
      <c r="G32" s="679"/>
      <c r="H32" s="679"/>
      <c r="I32" s="318"/>
      <c r="J32" s="679"/>
      <c r="K32" s="679"/>
      <c r="L32" s="679"/>
      <c r="M32" s="679"/>
      <c r="N32" s="679"/>
      <c r="O32" s="206"/>
      <c r="P32" s="679"/>
      <c r="Q32" s="679"/>
      <c r="R32" s="679"/>
      <c r="S32" s="679"/>
      <c r="T32" s="679"/>
      <c r="U32" s="1152" t="s">
        <v>31</v>
      </c>
      <c r="V32" s="1152"/>
      <c r="W32" s="1152"/>
      <c r="X32" s="1152"/>
      <c r="Y32" s="1152"/>
      <c r="Z32" s="1152"/>
      <c r="AA32" s="1153"/>
      <c r="AB32" s="590"/>
      <c r="AC32" s="590"/>
      <c r="AD32" s="206"/>
      <c r="AE32" s="206"/>
      <c r="AF32" s="206"/>
      <c r="AG32" s="206"/>
      <c r="AH32" s="206"/>
      <c r="AI32" s="206"/>
      <c r="AJ32" s="206"/>
      <c r="AK32" s="206"/>
    </row>
    <row r="33" spans="1:34" ht="15" customHeight="1" x14ac:dyDescent="0.25">
      <c r="A33" s="209"/>
      <c r="B33" s="1166" t="s">
        <v>32</v>
      </c>
      <c r="C33" s="1167"/>
      <c r="D33" s="1167"/>
      <c r="E33" s="1167"/>
      <c r="F33" s="1167"/>
      <c r="G33" s="1167"/>
      <c r="H33" s="1167"/>
      <c r="I33" s="1167"/>
      <c r="J33" s="1167"/>
      <c r="K33" s="1167"/>
      <c r="L33" s="1167"/>
      <c r="M33" s="1167"/>
      <c r="N33" s="1167"/>
      <c r="O33" s="1167"/>
      <c r="P33" s="1167"/>
      <c r="Q33" s="1167"/>
      <c r="R33" s="1167"/>
      <c r="S33" s="1167"/>
      <c r="T33" s="1167"/>
      <c r="U33" s="1167"/>
      <c r="V33" s="1167"/>
      <c r="W33" s="1167"/>
      <c r="X33" s="1167"/>
      <c r="Y33" s="1167"/>
      <c r="Z33" s="1167"/>
      <c r="AA33" s="1168"/>
      <c r="AB33" s="590"/>
      <c r="AC33" s="590"/>
      <c r="AD33" s="206"/>
      <c r="AE33" s="206"/>
      <c r="AF33" s="206"/>
      <c r="AG33" s="206"/>
      <c r="AH33" s="206"/>
    </row>
    <row r="34" spans="1:34" ht="15" customHeight="1" x14ac:dyDescent="0.25">
      <c r="A34" s="793"/>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590"/>
      <c r="AC34" s="590"/>
      <c r="AD34" s="206"/>
      <c r="AE34" s="206"/>
      <c r="AF34" s="206"/>
      <c r="AG34" s="206"/>
      <c r="AH34" s="206"/>
    </row>
    <row r="35" spans="1:34" ht="13.5" customHeight="1" x14ac:dyDescent="0.25">
      <c r="A35" s="655"/>
      <c r="B35" s="953"/>
      <c r="C35" s="950"/>
      <c r="D35" s="950"/>
      <c r="E35" s="950"/>
      <c r="F35" s="950"/>
      <c r="G35" s="950"/>
      <c r="H35" s="950"/>
      <c r="I35" s="950"/>
      <c r="J35" s="1123" t="s">
        <v>33</v>
      </c>
      <c r="K35" s="884"/>
      <c r="L35" s="955">
        <f ca="1">WorksheetDate</f>
        <v>44925</v>
      </c>
      <c r="M35" s="955"/>
      <c r="N35" s="955"/>
      <c r="O35" s="955"/>
      <c r="P35" s="956"/>
      <c r="Q35" s="956"/>
      <c r="R35" s="1127"/>
      <c r="S35" s="1128"/>
      <c r="T35" s="1128"/>
      <c r="U35" s="1128"/>
      <c r="V35" s="1128"/>
      <c r="W35" s="1128"/>
      <c r="X35" s="1128"/>
      <c r="Y35" s="1128"/>
      <c r="Z35" s="1128"/>
      <c r="AA35" s="156"/>
      <c r="AB35" s="590"/>
      <c r="AC35" s="590"/>
      <c r="AD35" s="159"/>
      <c r="AE35" s="159"/>
      <c r="AF35" s="159"/>
      <c r="AG35" s="159"/>
      <c r="AH35" s="206"/>
    </row>
    <row r="36" spans="1:34" ht="10.5" customHeight="1" x14ac:dyDescent="0.25">
      <c r="A36" s="641" t="str">
        <f>(IF(NOT(ISBLANK(C35)),")",""))</f>
        <v/>
      </c>
      <c r="B36" s="1096"/>
      <c r="C36" s="1096"/>
      <c r="D36" s="1096"/>
      <c r="E36" s="1096"/>
      <c r="F36" s="1096"/>
      <c r="G36" s="1096"/>
      <c r="H36" s="1096"/>
      <c r="I36" s="1096"/>
      <c r="J36" s="1096"/>
      <c r="K36" s="1096"/>
      <c r="L36" s="1096"/>
      <c r="M36" s="1096"/>
      <c r="N36" s="1096"/>
      <c r="O36" s="1096"/>
      <c r="P36" s="1096"/>
      <c r="Q36" s="1096"/>
      <c r="R36" s="1128"/>
      <c r="S36" s="1128"/>
      <c r="T36" s="1128"/>
      <c r="U36" s="1128"/>
      <c r="V36" s="1128"/>
      <c r="W36" s="1128"/>
      <c r="X36" s="1128"/>
      <c r="Y36" s="1128"/>
      <c r="Z36" s="1128"/>
      <c r="AA36" s="645"/>
      <c r="AB36" s="590"/>
      <c r="AC36" s="590"/>
      <c r="AD36" s="160"/>
      <c r="AE36" s="160"/>
      <c r="AF36" s="160"/>
      <c r="AG36" s="160"/>
      <c r="AH36" s="206"/>
    </row>
    <row r="37" spans="1:34" ht="26.25" customHeight="1" x14ac:dyDescent="0.3">
      <c r="A37" s="573"/>
      <c r="B37" s="1097" t="str">
        <f>PetitionerCaptionPrefix</f>
        <v/>
      </c>
      <c r="C37" s="1098"/>
      <c r="D37" s="1098"/>
      <c r="E37" s="1098"/>
      <c r="F37" s="1098"/>
      <c r="G37" s="1098"/>
      <c r="H37" s="1098"/>
      <c r="I37" s="1098"/>
      <c r="J37" s="1098"/>
      <c r="K37" s="1098"/>
      <c r="L37" s="1192" t="s">
        <v>34</v>
      </c>
      <c r="M37" s="884"/>
      <c r="N37" s="1018"/>
      <c r="O37" s="886"/>
      <c r="P37" s="1100" t="s">
        <v>35</v>
      </c>
      <c r="Q37" s="1101"/>
      <c r="R37" s="736"/>
      <c r="S37" s="1099" t="str">
        <f>CaseNumber</f>
        <v/>
      </c>
      <c r="T37" s="982"/>
      <c r="U37" s="982"/>
      <c r="V37" s="982"/>
      <c r="W37" s="982"/>
      <c r="X37" s="982"/>
      <c r="Y37" s="982"/>
      <c r="Z37" s="157"/>
      <c r="AA37" s="157"/>
      <c r="AB37" s="242"/>
      <c r="AC37" s="242"/>
      <c r="AD37" s="592"/>
      <c r="AE37" s="592"/>
      <c r="AF37" s="592"/>
      <c r="AG37" s="592"/>
      <c r="AH37" s="592"/>
    </row>
    <row r="38" spans="1:34" ht="15" customHeight="1" x14ac:dyDescent="0.3">
      <c r="A38" s="573"/>
      <c r="B38" s="1197" t="str">
        <f>PetitionerCaption</f>
        <v/>
      </c>
      <c r="C38" s="1198"/>
      <c r="D38" s="1198"/>
      <c r="E38" s="1198"/>
      <c r="F38" s="1198"/>
      <c r="G38" s="1198"/>
      <c r="H38" s="1198"/>
      <c r="I38" s="1198"/>
      <c r="J38" s="1198"/>
      <c r="K38" s="1198"/>
      <c r="L38" s="1193"/>
      <c r="M38" s="865"/>
      <c r="N38" s="1125" t="s">
        <v>36</v>
      </c>
      <c r="O38" s="1126"/>
      <c r="P38" s="1126"/>
      <c r="Q38" s="1126"/>
      <c r="R38" s="1126"/>
      <c r="S38" s="1126"/>
      <c r="T38" s="1126"/>
      <c r="U38" s="1126"/>
      <c r="V38" s="1126"/>
      <c r="W38" s="1126"/>
      <c r="X38" s="1126"/>
      <c r="Y38" s="1126"/>
      <c r="Z38" s="1126"/>
      <c r="AA38" s="1126"/>
      <c r="AB38" s="590"/>
      <c r="AC38" s="590"/>
      <c r="AD38" s="592"/>
      <c r="AE38" s="592"/>
      <c r="AF38" s="592"/>
      <c r="AG38" s="592"/>
      <c r="AH38" s="592"/>
    </row>
    <row r="39" spans="1:34" x14ac:dyDescent="0.25">
      <c r="A39" s="573"/>
      <c r="B39" s="1102" t="s">
        <v>37</v>
      </c>
      <c r="C39" s="1102"/>
      <c r="D39" s="1102"/>
      <c r="E39" s="1102"/>
      <c r="F39" s="1102"/>
      <c r="G39" s="1102"/>
      <c r="H39" s="1102"/>
      <c r="I39" s="1102"/>
      <c r="J39" s="1102"/>
      <c r="K39" s="1102"/>
      <c r="L39" s="1193"/>
      <c r="M39" s="865"/>
      <c r="N39" s="1126"/>
      <c r="O39" s="1126"/>
      <c r="P39" s="1126"/>
      <c r="Q39" s="1126"/>
      <c r="R39" s="1126"/>
      <c r="S39" s="1126"/>
      <c r="T39" s="1126"/>
      <c r="U39" s="1126"/>
      <c r="V39" s="1126"/>
      <c r="W39" s="1126"/>
      <c r="X39" s="1126"/>
      <c r="Y39" s="1126"/>
      <c r="Z39" s="1126"/>
      <c r="AA39" s="1126"/>
      <c r="AB39" s="590"/>
      <c r="AC39" s="590"/>
      <c r="AD39" s="592"/>
      <c r="AE39" s="592"/>
      <c r="AF39" s="592"/>
      <c r="AG39" s="592"/>
      <c r="AH39" s="592"/>
    </row>
    <row r="40" spans="1:34" x14ac:dyDescent="0.25">
      <c r="A40" s="573"/>
      <c r="B40" s="1015"/>
      <c r="C40" s="1015"/>
      <c r="D40" s="1015"/>
      <c r="E40" s="1015"/>
      <c r="F40" s="1015"/>
      <c r="G40" s="1015"/>
      <c r="H40" s="1015"/>
      <c r="I40" s="1015"/>
      <c r="J40" s="1015"/>
      <c r="K40" s="1015"/>
      <c r="L40" s="1193"/>
      <c r="M40" s="865"/>
      <c r="N40" s="1124" t="s">
        <v>38</v>
      </c>
      <c r="O40" s="1124"/>
      <c r="P40" s="1124"/>
      <c r="Q40" s="1124"/>
      <c r="R40" s="1124"/>
      <c r="S40" s="1124"/>
      <c r="T40" s="1124"/>
      <c r="U40" s="1124"/>
      <c r="V40" s="1124"/>
      <c r="W40" s="1124"/>
      <c r="X40" s="1124"/>
      <c r="Y40" s="1124"/>
      <c r="Z40" s="1124"/>
      <c r="AA40" s="1124"/>
      <c r="AB40" s="590"/>
      <c r="AC40" s="590"/>
      <c r="AD40" s="592"/>
      <c r="AE40" s="592"/>
      <c r="AF40" s="592"/>
      <c r="AG40" s="592"/>
      <c r="AH40" s="592"/>
    </row>
    <row r="41" spans="1:34" ht="13.2" customHeight="1" x14ac:dyDescent="0.25">
      <c r="A41" s="573"/>
      <c r="B41" s="1048" t="s">
        <v>39</v>
      </c>
      <c r="C41" s="1068"/>
      <c r="D41" s="1068"/>
      <c r="E41" s="1068"/>
      <c r="F41" s="1068"/>
      <c r="G41" s="1068"/>
      <c r="H41" s="1068"/>
      <c r="I41" s="1068"/>
      <c r="J41" s="1068"/>
      <c r="K41" s="1068"/>
      <c r="L41" s="1193"/>
      <c r="M41" s="865"/>
      <c r="N41" s="1116"/>
      <c r="O41" s="1117"/>
      <c r="P41" s="1117"/>
      <c r="Q41" s="1117"/>
      <c r="R41" s="1117"/>
      <c r="S41" s="1117"/>
      <c r="T41" s="1117"/>
      <c r="U41" s="1117"/>
      <c r="V41" s="1117"/>
      <c r="W41" s="1117"/>
      <c r="X41" s="1117"/>
      <c r="Y41" s="1117"/>
      <c r="Z41" s="1117"/>
      <c r="AA41" s="1117"/>
      <c r="AB41" s="590"/>
      <c r="AC41" s="590"/>
      <c r="AD41" s="592"/>
      <c r="AE41" s="592"/>
      <c r="AF41" s="592"/>
      <c r="AG41" s="592"/>
      <c r="AH41" s="592"/>
    </row>
    <row r="42" spans="1:34" ht="12.75" customHeight="1" x14ac:dyDescent="0.25">
      <c r="A42" s="573"/>
      <c r="B42" s="1178"/>
      <c r="C42" s="1096"/>
      <c r="D42" s="1096"/>
      <c r="E42" s="1096"/>
      <c r="F42" s="1096"/>
      <c r="G42" s="1096"/>
      <c r="H42" s="1096"/>
      <c r="I42" s="1096"/>
      <c r="J42" s="1096"/>
      <c r="K42" s="1096"/>
      <c r="L42" s="1193"/>
      <c r="M42" s="865"/>
      <c r="N42" s="1118" t="s">
        <v>40</v>
      </c>
      <c r="O42" s="1119"/>
      <c r="P42" s="1106" t="str">
        <f>IF(ISBLANK(M18),"",M18)</f>
        <v/>
      </c>
      <c r="Q42" s="1107"/>
      <c r="R42" s="1106" t="str">
        <f>IF(ISBLANK(M19),"",M19)</f>
        <v/>
      </c>
      <c r="S42" s="1107"/>
      <c r="T42" s="1106" t="str">
        <f>IF(ISBLANK(M20),"",M20)</f>
        <v/>
      </c>
      <c r="U42" s="1107"/>
      <c r="V42" s="1106" t="str">
        <f>IF(ISBLANK(M21),"",M21)</f>
        <v/>
      </c>
      <c r="W42" s="1107"/>
      <c r="X42" s="1106" t="str">
        <f>IF(ISBLANK(M22),"",M22)</f>
        <v/>
      </c>
      <c r="Y42" s="1107"/>
      <c r="Z42" s="1106" t="str">
        <f>IF(ISBLANK(M23),"",M23)</f>
        <v/>
      </c>
      <c r="AA42" s="1107"/>
      <c r="AB42" s="590"/>
      <c r="AC42" s="590"/>
      <c r="AD42" s="592"/>
      <c r="AE42" s="592"/>
      <c r="AF42" s="592"/>
      <c r="AG42" s="592"/>
      <c r="AH42" s="592"/>
    </row>
    <row r="43" spans="1:34" s="6" customFormat="1" ht="7.5" customHeight="1" x14ac:dyDescent="0.25">
      <c r="A43" s="249"/>
      <c r="B43" s="1120" t="str">
        <f>Respondent</f>
        <v/>
      </c>
      <c r="C43" s="1121"/>
      <c r="D43" s="1121"/>
      <c r="E43" s="1121"/>
      <c r="F43" s="1121"/>
      <c r="G43" s="1121"/>
      <c r="H43" s="1121"/>
      <c r="I43" s="1121"/>
      <c r="J43" s="1121"/>
      <c r="K43" s="1121"/>
      <c r="L43" s="1193"/>
      <c r="M43" s="865"/>
      <c r="N43" s="1112" t="s">
        <v>41</v>
      </c>
      <c r="O43" s="1113"/>
      <c r="P43" s="1103" t="str">
        <f ca="1">IF(P42="","",(TODAY()-P42)/365.25)</f>
        <v/>
      </c>
      <c r="Q43" s="1104"/>
      <c r="R43" s="1103" t="str">
        <f ca="1">IF(R42="","",(TODAY()-R42)/365.25)</f>
        <v/>
      </c>
      <c r="S43" s="1104"/>
      <c r="T43" s="1103" t="str">
        <f ca="1">IF(T42="","",(TODAY()-T42)/365.25)</f>
        <v/>
      </c>
      <c r="U43" s="1104"/>
      <c r="V43" s="1103" t="str">
        <f ca="1">IF(V42="","",(TODAY()-V42)/365.25)</f>
        <v/>
      </c>
      <c r="W43" s="1104"/>
      <c r="X43" s="1103" t="str">
        <f ca="1">IF(X42="","",(TODAY()-X42)/365.25)</f>
        <v/>
      </c>
      <c r="Y43" s="1104"/>
      <c r="Z43" s="1103" t="str">
        <f ca="1">IF(Z42="","",(TODAY()-Z42)/365.25)</f>
        <v/>
      </c>
      <c r="AA43" s="1104"/>
      <c r="AB43" s="590"/>
      <c r="AC43" s="590"/>
    </row>
    <row r="44" spans="1:34" s="6" customFormat="1" ht="12.75" customHeight="1" x14ac:dyDescent="0.25">
      <c r="A44" s="249"/>
      <c r="B44" s="1122"/>
      <c r="C44" s="1122"/>
      <c r="D44" s="1122"/>
      <c r="E44" s="1122"/>
      <c r="F44" s="1122"/>
      <c r="G44" s="1122"/>
      <c r="H44" s="1122"/>
      <c r="I44" s="1122"/>
      <c r="J44" s="1122"/>
      <c r="K44" s="1122"/>
      <c r="L44" s="1193"/>
      <c r="M44" s="865"/>
      <c r="N44" s="1114"/>
      <c r="O44" s="1115"/>
      <c r="P44" s="1072" t="str">
        <f>IF(ISBLANK($S18),"",$S18)</f>
        <v/>
      </c>
      <c r="Q44" s="1073"/>
      <c r="R44" s="1072" t="str">
        <f>IF(ISBLANK($S19),"",$S19)</f>
        <v/>
      </c>
      <c r="S44" s="1073"/>
      <c r="T44" s="1072" t="str">
        <f>IF(ISBLANK($S20),"",$S20)</f>
        <v/>
      </c>
      <c r="U44" s="1073"/>
      <c r="V44" s="1072" t="str">
        <f>IF(ISBLANK($S21),"",$S21)</f>
        <v/>
      </c>
      <c r="W44" s="1073"/>
      <c r="X44" s="1072" t="str">
        <f>IF(ISBLANK($S22),"",$S22)</f>
        <v/>
      </c>
      <c r="Y44" s="1073"/>
      <c r="Z44" s="1072" t="str">
        <f>IF(ISBLANK($S23),"",$S23)</f>
        <v/>
      </c>
      <c r="AA44" s="1073"/>
      <c r="AB44" s="590"/>
      <c r="AC44" s="590"/>
    </row>
    <row r="45" spans="1:34" s="6" customFormat="1" ht="12.75" customHeight="1" x14ac:dyDescent="0.25">
      <c r="A45" s="249"/>
      <c r="B45" s="1165" t="s">
        <v>42</v>
      </c>
      <c r="C45" s="1165"/>
      <c r="D45" s="1165"/>
      <c r="E45" s="1165"/>
      <c r="F45" s="1165"/>
      <c r="G45" s="1165"/>
      <c r="H45" s="1165"/>
      <c r="I45" s="1165"/>
      <c r="J45" s="1165"/>
      <c r="K45" s="1165"/>
      <c r="L45" s="1193"/>
      <c r="M45" s="865"/>
      <c r="N45" s="1054" t="s">
        <v>43</v>
      </c>
      <c r="O45" s="1055"/>
      <c r="P45" s="1055"/>
      <c r="Q45" s="1055"/>
      <c r="R45" s="1055"/>
      <c r="S45" s="1056"/>
      <c r="T45" s="1083" t="str">
        <f ca="1">IF(OR(AND(NOT(ISNUMBER(M18)),NOT(ISNUMBER(M19)),NOT(ISNUMBER(M20)),NOT(ISNUMBER(M21)),NOT(ISNUMBER(M22)),NOT(ISNUMBER(M23))),OR(ISNUMBER(S18),ISNUMBER(S19),ISNUMBER(S20),ISNUMBER(S21),ISNUMBER(S22),ISNUMBER(S23))),"",IF((TODAY()-MAX(M18:M23))/365.25&gt;19,"Over 19",IF(OR(MONTH(TODAY())=1,MONTH(TODAY())=2,MONTH(TODAY())=3,MONTH(TODAY())=4,MONTH(TODAY())=5),VLOOKUP(YEAR(TODAY()),PTD!B33:'PTD'!F52,3,FALSE),VLOOKUP(YEAR(TODAY()),PTD!B33:'PTD'!F52,5,FALSE))))</f>
        <v/>
      </c>
      <c r="U45" s="1084"/>
      <c r="V45" s="1194" t="s">
        <v>44</v>
      </c>
      <c r="W45" s="1195"/>
      <c r="X45" s="1195"/>
      <c r="Y45" s="1196"/>
      <c r="Z45" s="1088" t="str">
        <f>IF(ISNUMBER(X24),X24,"")</f>
        <v/>
      </c>
      <c r="AA45" s="1089"/>
      <c r="AB45" s="590"/>
      <c r="AC45" s="590"/>
    </row>
    <row r="46" spans="1:34" s="6" customFormat="1" ht="12.75" customHeight="1" x14ac:dyDescent="0.25">
      <c r="A46" s="249"/>
      <c r="B46" s="1051"/>
      <c r="C46" s="1051"/>
      <c r="D46" s="1051"/>
      <c r="E46" s="1051"/>
      <c r="F46" s="1051"/>
      <c r="G46" s="1051"/>
      <c r="H46" s="1051"/>
      <c r="I46" s="1051"/>
      <c r="J46" s="1051"/>
      <c r="K46" s="1051"/>
      <c r="L46" s="1193"/>
      <c r="M46" s="865"/>
      <c r="N46" s="1085" t="s">
        <v>45</v>
      </c>
      <c r="O46" s="1086"/>
      <c r="P46" s="1087"/>
      <c r="Q46" s="1087"/>
      <c r="R46" s="1087"/>
      <c r="S46" s="1087"/>
      <c r="T46" s="1087"/>
      <c r="U46" s="1087"/>
      <c r="V46" s="1049" t="str">
        <f ca="1">IF(OR(AND(ISBLANK(M18),ISBLANK(M19),ISBLANK(M20),ISBLANK(M21),ISBLANK(M22),ISBLANK(M23)),OR(ISNUMBER(S18),ISNUMBER(S19),ISNUMBER(S20),ISNUMBER(S21),ISNUMBER(S22),ISNUMBER(S23)),T45="Over 19"),"Calculate",IF(AND(MONTH(MAX(M18:M23))=9,DAY(MAX(M18:M23))=1),PTD!C24,IF(AND(ISNUMBER(X24),T45-X24=1),VLOOKUP(MONTH(MAX(M18:M23)),PTD!B11:J22,4,FALSE),IF(AND(ISNUMBER(X24),T45-X24&gt;=2),VLOOKUP(MONTH(MAX(M18:M23)),PTD!B11:J22,6,FALSE),IF(AND(ISNUMBER(X24),T45-X24&lt;0),VLOOKUP(MONTH(MAX(M18:M23)),PTD!B11:J22,8,FALSE),VLOOKUP(MONTH(MAX(M18:M23)),PTD!B11:J22,2,FALSE))))))</f>
        <v>Calculate</v>
      </c>
      <c r="W46" s="1050"/>
      <c r="X46" s="1050"/>
      <c r="Y46" s="1050"/>
      <c r="Z46" s="1188" t="str">
        <f ca="1">IF(OR(AND(ISBLANK(M18),ISBLANK(M19),ISBLANK(M20),ISBLANK(M21),ISBLANK(M22),ISBLANK(M23)),OR(ISNUMBER(S18),ISNUMBER(S19),ISNUMBER(S20),ISNUMBER(S21),ISNUMBER(S22),ISNUMBER(S23)),T45="Grad",T45="Over 19"),"",IF(AND(MONTH(MAX(M18:M23))=9,DAY(MAX(M18:M23))=1),YEAR(MAX(M18:M23))+PTD!D24,IF(AND(ISNUMBER(X24),T45-X24=1),YEAR(MAX(M18:M23))+VLOOKUP(MONTH(MAX(M18:M23)),PTD!B11:'PTD'!J22,5,FALSE),IF(AND(ISNUMBER(X24),T45-X24&gt;=2),YEAR(MAX(M18:M23))+VLOOKUP(MONTH(MAX(M18:M23)),PTD!B11:'PTD'!J22,7,FALSE),IF(AND(ISNUMBER(X24),T45-X24&lt;0),YEAR(MAX(M18:M23))+VLOOKUP(MONTH(MAX(M18:M23)),PTD!B11:'PTD'!J22,9,FALSE),YEAR(MAX(M18:M23))+VLOOKUP(MONTH(MAX(M18:M23)),PTD!B11:'PTD'!J22,3,FALSE))))))</f>
        <v/>
      </c>
      <c r="AA46" s="1189"/>
      <c r="AB46" s="590"/>
      <c r="AC46" s="590"/>
    </row>
    <row r="47" spans="1:34" s="6" customFormat="1" ht="16.5" customHeight="1" x14ac:dyDescent="0.25">
      <c r="A47" s="249"/>
      <c r="B47" s="1081" t="str">
        <f>IF(NOT(ISBLANK(N28)),N28,"")</f>
        <v/>
      </c>
      <c r="C47" s="1081"/>
      <c r="D47" s="1081"/>
      <c r="E47" s="1081"/>
      <c r="F47" s="1081"/>
      <c r="G47" s="1081"/>
      <c r="H47" s="1081"/>
      <c r="I47" s="1081"/>
      <c r="J47" s="1081"/>
      <c r="K47" s="1081"/>
      <c r="L47" s="645"/>
      <c r="M47" s="865"/>
      <c r="N47" s="1185" t="s">
        <v>46</v>
      </c>
      <c r="O47" s="1186"/>
      <c r="P47" s="1187"/>
      <c r="Q47" s="1187"/>
      <c r="R47" s="1187"/>
      <c r="S47" s="1187"/>
      <c r="T47" s="1187"/>
      <c r="U47" s="639" t="str">
        <f>IF(Children=0,"",Children)</f>
        <v/>
      </c>
      <c r="V47" s="1082" t="s">
        <v>47</v>
      </c>
      <c r="W47" s="1082"/>
      <c r="X47" s="1082"/>
      <c r="Y47" s="1082"/>
      <c r="Z47" s="1082"/>
      <c r="AA47" s="134" t="str">
        <f>IF(Children=0,"",Children12Over)</f>
        <v/>
      </c>
      <c r="AB47" s="590"/>
      <c r="AC47" s="590"/>
      <c r="AD47" s="160"/>
      <c r="AE47" s="160"/>
      <c r="AF47" s="160"/>
    </row>
    <row r="48" spans="1:34" ht="10.5" customHeight="1" x14ac:dyDescent="0.25">
      <c r="A48" s="573"/>
      <c r="B48" s="1094"/>
      <c r="C48" s="1095"/>
      <c r="D48" s="1095"/>
      <c r="E48" s="1095"/>
      <c r="F48" s="1095"/>
      <c r="G48" s="1095"/>
      <c r="H48" s="1095"/>
      <c r="I48" s="1095"/>
      <c r="J48" s="1095"/>
      <c r="K48" s="1095"/>
      <c r="L48" s="1095"/>
      <c r="M48" s="1095"/>
      <c r="N48" s="1095"/>
      <c r="O48" s="1095"/>
      <c r="P48" s="1095"/>
      <c r="Q48" s="1095"/>
      <c r="R48" s="1095"/>
      <c r="S48" s="1095"/>
      <c r="T48" s="1095"/>
      <c r="U48" s="1095"/>
      <c r="V48" s="1095"/>
      <c r="W48" s="1095"/>
      <c r="X48" s="1095"/>
      <c r="Y48" s="1095"/>
      <c r="Z48" s="1095"/>
      <c r="AA48" s="1095"/>
      <c r="AB48" s="590"/>
      <c r="AC48" s="590"/>
      <c r="AD48" s="160"/>
      <c r="AE48" s="160"/>
      <c r="AF48" s="160"/>
      <c r="AG48" s="206"/>
      <c r="AH48" s="206"/>
    </row>
    <row r="49" spans="1:37" ht="16.5" customHeight="1" thickBot="1" x14ac:dyDescent="0.3">
      <c r="A49" s="573"/>
      <c r="B49" s="1182" t="s">
        <v>48</v>
      </c>
      <c r="C49" s="1182"/>
      <c r="D49" s="1182"/>
      <c r="E49" s="1182"/>
      <c r="F49" s="1190" t="str">
        <f>IF(OR(AND(NOT(ISBLANK(J49)),OR(NOT(ISBLANK(M49)),NOT(ISBLANK(P49)))),AND(NOT(ISBLANK(M49)),OR(NOT(ISBLANK(J49)),NOT(ISBLANK(P49)))),AND(NOT(ISBLANK(P49)),OR(NOT(ISBLANK(J49)),NOT(ISBLANK(M49)))),AND(NOT(ISBLANK(J49)),NOT(ISBLANK(M49)),NOT(ISBLANK(P49)))),"Check Only 1!",IF(AND(AND(ISBLANK(J49),ISBLANK(M49),ISBLANK(P49)),OR(ISNUMBER(J51),ISNUMBER(M51),ISNUMBER(P51),ISNUMBER(J52),ISNUMBER(M52),ISNUMBER(P52))),"Pick parenting plan!",""))</f>
        <v/>
      </c>
      <c r="G49" s="1190"/>
      <c r="H49" s="1190"/>
      <c r="I49" s="1191"/>
      <c r="J49" s="508"/>
      <c r="K49" s="492" t="s">
        <v>49</v>
      </c>
      <c r="L49" s="735"/>
      <c r="M49" s="507"/>
      <c r="N49" s="491" t="s">
        <v>50</v>
      </c>
      <c r="O49" s="735"/>
      <c r="P49" s="507"/>
      <c r="Q49" s="492" t="s">
        <v>51</v>
      </c>
      <c r="R49" s="644"/>
      <c r="S49" s="790"/>
      <c r="T49" s="790"/>
      <c r="U49" s="1052" t="s">
        <v>49</v>
      </c>
      <c r="V49" s="1052"/>
      <c r="W49" s="1052"/>
      <c r="X49" s="1053"/>
      <c r="Y49" s="1052" t="s">
        <v>50</v>
      </c>
      <c r="Z49" s="1052"/>
      <c r="AA49" s="1052"/>
      <c r="AB49" s="590"/>
      <c r="AC49" s="590"/>
      <c r="AD49" s="160"/>
      <c r="AE49" s="160"/>
      <c r="AF49" s="160"/>
      <c r="AG49" s="206"/>
      <c r="AH49" s="206"/>
      <c r="AI49" s="206"/>
      <c r="AJ49" s="206"/>
      <c r="AK49" s="206"/>
    </row>
    <row r="50" spans="1:37" ht="15.75" customHeight="1" thickTop="1" x14ac:dyDescent="0.25">
      <c r="A50" s="573"/>
      <c r="B50" s="203"/>
      <c r="C50" s="1075"/>
      <c r="D50" s="1075"/>
      <c r="E50" s="1075"/>
      <c r="F50" s="1075"/>
      <c r="G50" s="1075"/>
      <c r="H50" s="1075"/>
      <c r="I50" s="1075"/>
      <c r="J50" s="1091" t="s">
        <v>52</v>
      </c>
      <c r="K50" s="1091"/>
      <c r="L50" s="1092"/>
      <c r="M50" s="1091" t="s">
        <v>53</v>
      </c>
      <c r="N50" s="1091"/>
      <c r="O50" s="1092"/>
      <c r="P50" s="1091" t="s">
        <v>54</v>
      </c>
      <c r="Q50" s="1091"/>
      <c r="R50" s="1092"/>
      <c r="S50" s="1199" t="s">
        <v>55</v>
      </c>
      <c r="T50" s="1199"/>
      <c r="U50" s="1053"/>
      <c r="V50" s="1053"/>
      <c r="W50" s="1053"/>
      <c r="X50" s="1053"/>
      <c r="Y50" s="1053"/>
      <c r="Z50" s="1053"/>
      <c r="AA50" s="1053"/>
      <c r="AB50" s="404" t="s">
        <v>55</v>
      </c>
      <c r="AC50" s="590"/>
      <c r="AD50" s="160"/>
      <c r="AE50" s="160"/>
      <c r="AF50" s="160"/>
      <c r="AG50" s="206"/>
      <c r="AH50" s="206"/>
      <c r="AI50" s="206"/>
      <c r="AJ50" s="206"/>
      <c r="AK50" s="206"/>
    </row>
    <row r="51" spans="1:37" ht="12" customHeight="1" thickBot="1" x14ac:dyDescent="0.3">
      <c r="A51" s="573"/>
      <c r="B51" s="1182" t="s">
        <v>56</v>
      </c>
      <c r="C51" s="1182"/>
      <c r="D51" s="1182"/>
      <c r="E51" s="1182"/>
      <c r="F51" s="1182"/>
      <c r="G51" s="1183"/>
      <c r="H51" s="1093" t="s">
        <v>57</v>
      </c>
      <c r="I51" s="1093"/>
      <c r="J51" s="1074"/>
      <c r="K51" s="1074"/>
      <c r="L51" s="1074"/>
      <c r="M51" s="1074"/>
      <c r="N51" s="1074"/>
      <c r="O51" s="1074"/>
      <c r="P51" s="1074"/>
      <c r="Q51" s="1074"/>
      <c r="R51" s="1074"/>
      <c r="S51" s="647"/>
      <c r="T51" s="1111" t="str">
        <f>IF(OR(NOT(ISBLANK(J51)),NOT(ISBLANK(M51)),NOT(ISBLANK(P51))),"$","")</f>
        <v/>
      </c>
      <c r="U51" s="1179" t="str">
        <f>ChildSupportIncomeA</f>
        <v/>
      </c>
      <c r="V51" s="1180"/>
      <c r="W51" s="1180"/>
      <c r="X51" s="1184" t="str">
        <f>IF(OR(NOT(ISBLANK(J52)),NOT(ISBLANK(M52)),NOT(ISBLANK(P52))),"$","")</f>
        <v/>
      </c>
      <c r="Y51" s="1179" t="str">
        <f>ChildSupportIncomeB</f>
        <v/>
      </c>
      <c r="Z51" s="1024"/>
      <c r="AA51" s="1024"/>
      <c r="AB51" s="573"/>
      <c r="AC51" s="590"/>
      <c r="AD51" s="160"/>
      <c r="AE51" s="160"/>
      <c r="AF51" s="160"/>
      <c r="AG51" s="206"/>
      <c r="AH51" s="206"/>
      <c r="AI51" s="206"/>
      <c r="AJ51" s="206"/>
      <c r="AK51" s="206"/>
    </row>
    <row r="52" spans="1:37" ht="12" customHeight="1" thickTop="1" thickBot="1" x14ac:dyDescent="0.3">
      <c r="A52" s="573"/>
      <c r="B52" s="1182"/>
      <c r="C52" s="1182"/>
      <c r="D52" s="1182"/>
      <c r="E52" s="1182"/>
      <c r="F52" s="1182"/>
      <c r="G52" s="1183"/>
      <c r="H52" s="1093" t="s">
        <v>58</v>
      </c>
      <c r="I52" s="1093"/>
      <c r="J52" s="1108"/>
      <c r="K52" s="1109"/>
      <c r="L52" s="1110"/>
      <c r="M52" s="1090"/>
      <c r="N52" s="1090"/>
      <c r="O52" s="1090"/>
      <c r="P52" s="1090"/>
      <c r="Q52" s="1090"/>
      <c r="R52" s="1090"/>
      <c r="S52" s="640"/>
      <c r="T52" s="1111"/>
      <c r="U52" s="1181"/>
      <c r="V52" s="1181"/>
      <c r="W52" s="1181"/>
      <c r="X52" s="1184"/>
      <c r="Y52" s="1025"/>
      <c r="Z52" s="1025"/>
      <c r="AA52" s="1025"/>
      <c r="AB52" s="404" t="s">
        <v>59</v>
      </c>
      <c r="AC52" s="402"/>
      <c r="AD52" s="306"/>
      <c r="AE52" s="306"/>
      <c r="AF52" s="306"/>
      <c r="AG52" s="735"/>
      <c r="AH52" s="735"/>
      <c r="AI52" s="735"/>
      <c r="AJ52" s="735"/>
      <c r="AK52" s="206"/>
    </row>
    <row r="53" spans="1:37" ht="22.2" customHeight="1" thickTop="1" x14ac:dyDescent="0.25">
      <c r="A53" s="573"/>
      <c r="B53" s="1182" t="s">
        <v>60</v>
      </c>
      <c r="C53" s="1182"/>
      <c r="D53" s="1182"/>
      <c r="E53" s="1182"/>
      <c r="F53" s="1182"/>
      <c r="G53" s="1182"/>
      <c r="H53" s="1182"/>
      <c r="I53" s="1182"/>
      <c r="J53" s="1182"/>
      <c r="K53" s="1182"/>
      <c r="L53" s="1182"/>
      <c r="M53" s="1182"/>
      <c r="N53" s="1182"/>
      <c r="O53" s="1182"/>
      <c r="P53" s="1182"/>
      <c r="Q53" s="1182"/>
      <c r="R53" s="1182"/>
      <c r="S53" s="1182"/>
      <c r="T53" s="1182"/>
      <c r="U53" s="738"/>
      <c r="V53" s="738"/>
      <c r="W53" s="738"/>
      <c r="X53" s="638"/>
      <c r="Y53" s="739"/>
      <c r="Z53" s="739"/>
      <c r="AA53" s="739"/>
      <c r="AB53" s="590"/>
      <c r="AC53" s="590"/>
      <c r="AD53" s="306"/>
      <c r="AE53" s="306"/>
      <c r="AF53" s="306"/>
      <c r="AG53" s="479"/>
      <c r="AH53" s="480"/>
      <c r="AI53" s="592"/>
      <c r="AJ53" s="592"/>
      <c r="AK53" s="592"/>
    </row>
    <row r="54" spans="1:37" ht="18.75" customHeight="1" thickBot="1" x14ac:dyDescent="0.3">
      <c r="A54" s="573"/>
      <c r="B54" s="631"/>
      <c r="C54" s="864" t="s">
        <v>61</v>
      </c>
      <c r="D54" s="864"/>
      <c r="E54" s="864"/>
      <c r="F54" s="864"/>
      <c r="G54" s="864"/>
      <c r="H54" s="864"/>
      <c r="I54" s="864"/>
      <c r="J54" s="864"/>
      <c r="K54" s="864"/>
      <c r="L54" s="864"/>
      <c r="M54" s="864"/>
      <c r="N54" s="864"/>
      <c r="O54" s="864"/>
      <c r="P54" s="864"/>
      <c r="Q54" s="629"/>
      <c r="R54" s="7"/>
      <c r="S54" s="650"/>
      <c r="T54" s="650"/>
      <c r="U54" s="1058"/>
      <c r="V54" s="1058"/>
      <c r="W54" s="1058"/>
      <c r="X54" s="69" t="str">
        <f>IF(AND(ISNUMBER(Y54),Y54&gt;0),"+","")</f>
        <v/>
      </c>
      <c r="Y54" s="1058"/>
      <c r="Z54" s="1058"/>
      <c r="AA54" s="1058"/>
      <c r="AB54" s="396" t="s">
        <v>59</v>
      </c>
      <c r="AC54" s="402"/>
      <c r="AD54" s="735"/>
      <c r="AE54" s="735"/>
      <c r="AF54" s="481"/>
      <c r="AG54" s="481"/>
      <c r="AH54" s="481"/>
      <c r="AI54" s="592"/>
      <c r="AJ54" s="592"/>
      <c r="AK54" s="592"/>
    </row>
    <row r="55" spans="1:37" ht="18.75" customHeight="1" thickTop="1" thickBot="1" x14ac:dyDescent="0.3">
      <c r="A55" s="573"/>
      <c r="B55" s="629"/>
      <c r="C55" s="864" t="s">
        <v>62</v>
      </c>
      <c r="D55" s="864"/>
      <c r="E55" s="864"/>
      <c r="F55" s="864"/>
      <c r="G55" s="864"/>
      <c r="H55" s="864"/>
      <c r="I55" s="864"/>
      <c r="J55" s="864"/>
      <c r="K55" s="864"/>
      <c r="L55" s="864"/>
      <c r="M55" s="864"/>
      <c r="N55" s="864"/>
      <c r="O55" s="864"/>
      <c r="P55" s="864"/>
      <c r="Q55" s="631"/>
      <c r="R55" s="631"/>
      <c r="S55" s="631"/>
      <c r="T55" s="631"/>
      <c r="U55" s="1280"/>
      <c r="V55" s="1280"/>
      <c r="W55" s="1280"/>
      <c r="X55" s="393"/>
      <c r="Y55" s="1281"/>
      <c r="Z55" s="1281"/>
      <c r="AA55" s="1281"/>
      <c r="AB55" s="396" t="s">
        <v>59</v>
      </c>
      <c r="AC55" s="402"/>
      <c r="AD55" s="306"/>
      <c r="AE55" s="306"/>
      <c r="AF55" s="306"/>
      <c r="AG55" s="306"/>
      <c r="AH55" s="306"/>
      <c r="AI55" s="592"/>
      <c r="AJ55" s="592"/>
      <c r="AK55" s="592"/>
    </row>
    <row r="56" spans="1:37" ht="18.75" customHeight="1" thickTop="1" x14ac:dyDescent="0.25">
      <c r="A56" s="573"/>
      <c r="B56" s="629"/>
      <c r="C56" s="864" t="s">
        <v>63</v>
      </c>
      <c r="D56" s="864"/>
      <c r="E56" s="864"/>
      <c r="F56" s="864"/>
      <c r="G56" s="864"/>
      <c r="H56" s="864"/>
      <c r="I56" s="864"/>
      <c r="J56" s="864"/>
      <c r="K56" s="864"/>
      <c r="L56" s="864"/>
      <c r="M56" s="864"/>
      <c r="N56" s="864"/>
      <c r="O56" s="864"/>
      <c r="P56" s="1201"/>
      <c r="Q56" s="7"/>
      <c r="R56" s="740"/>
      <c r="S56" s="740"/>
      <c r="T56" s="740"/>
      <c r="U56" s="1048"/>
      <c r="V56" s="1048"/>
      <c r="W56" s="1048"/>
      <c r="X56" s="629"/>
      <c r="Y56" s="1032"/>
      <c r="Z56" s="1032"/>
      <c r="AA56" s="1032"/>
      <c r="AB56" s="590"/>
      <c r="AC56" s="590"/>
      <c r="AD56" s="307"/>
      <c r="AE56" s="307"/>
      <c r="AF56" s="308"/>
      <c r="AG56" s="307"/>
      <c r="AH56" s="307"/>
      <c r="AI56" s="592"/>
      <c r="AJ56" s="592"/>
      <c r="AK56" s="592"/>
    </row>
    <row r="57" spans="1:37" ht="15" customHeight="1" thickBot="1" x14ac:dyDescent="0.3">
      <c r="A57" s="573"/>
      <c r="B57" s="629"/>
      <c r="C57" s="1200" t="s">
        <v>64</v>
      </c>
      <c r="D57" s="884"/>
      <c r="E57" s="882"/>
      <c r="F57" s="865"/>
      <c r="G57" s="504"/>
      <c r="H57" s="1068" t="str">
        <f>"Other Child" &amp; IF(G57=1,"",IF(G57&gt;=2,"ren","[ren]")) &amp; " Deduction Of:"</f>
        <v>Other Child[ren] Deduction Of:</v>
      </c>
      <c r="I57" s="865"/>
      <c r="J57" s="865"/>
      <c r="K57" s="865"/>
      <c r="L57" s="865"/>
      <c r="M57" s="865"/>
      <c r="N57" s="865"/>
      <c r="O57" s="1202"/>
      <c r="P57" s="1203"/>
      <c r="Q57" s="1203"/>
      <c r="R57" s="651"/>
      <c r="S57" s="651"/>
      <c r="T57" s="651"/>
      <c r="U57" s="1047" t="str">
        <f ca="1">ObligationForOtherChildrenA</f>
        <v/>
      </c>
      <c r="V57" s="1047"/>
      <c r="W57" s="1047"/>
      <c r="X57" s="629"/>
      <c r="Y57" s="1048"/>
      <c r="Z57" s="1048"/>
      <c r="AA57" s="1048"/>
      <c r="AB57" s="396" t="s">
        <v>59</v>
      </c>
      <c r="AC57" s="402"/>
      <c r="AD57" s="307"/>
      <c r="AE57" s="307"/>
      <c r="AF57" s="308"/>
      <c r="AG57" s="307"/>
      <c r="AH57" s="307"/>
      <c r="AI57" s="592"/>
      <c r="AJ57" s="592"/>
      <c r="AK57" s="592"/>
    </row>
    <row r="58" spans="1:37" ht="15.75" customHeight="1" thickTop="1" thickBot="1" x14ac:dyDescent="0.3">
      <c r="A58" s="573"/>
      <c r="B58" s="629"/>
      <c r="C58" s="1200" t="s">
        <v>65</v>
      </c>
      <c r="D58" s="884"/>
      <c r="E58" s="882"/>
      <c r="F58" s="865"/>
      <c r="G58" s="505"/>
      <c r="H58" s="1068" t="str">
        <f>"Other Child" &amp; IF(G58=1,"",IF(G58&gt;=2,"ren","[ren]")) &amp; " Deduction Of:"</f>
        <v>Other Child[ren] Deduction Of:</v>
      </c>
      <c r="I58" s="865"/>
      <c r="J58" s="865"/>
      <c r="K58" s="865"/>
      <c r="L58" s="865"/>
      <c r="M58" s="865"/>
      <c r="N58" s="865"/>
      <c r="O58" s="1066"/>
      <c r="P58" s="1067"/>
      <c r="Q58" s="1067"/>
      <c r="R58" s="651"/>
      <c r="S58" s="651"/>
      <c r="T58" s="651"/>
      <c r="U58" s="1020"/>
      <c r="V58" s="1020"/>
      <c r="W58" s="1020"/>
      <c r="X58" s="629"/>
      <c r="Y58" s="1047" t="str">
        <f ca="1">ObligationForOtherChildrenB</f>
        <v/>
      </c>
      <c r="Z58" s="1047"/>
      <c r="AA58" s="1047"/>
      <c r="AB58" s="590"/>
      <c r="AC58" s="590"/>
      <c r="AD58" s="592"/>
      <c r="AE58" s="592"/>
      <c r="AF58" s="592"/>
      <c r="AG58" s="307"/>
      <c r="AH58" s="307"/>
      <c r="AI58" s="592"/>
      <c r="AJ58" s="592"/>
      <c r="AK58" s="592"/>
    </row>
    <row r="59" spans="1:37" ht="22.2" customHeight="1" thickTop="1" x14ac:dyDescent="0.25">
      <c r="A59" s="573"/>
      <c r="B59" s="1017" t="s">
        <v>66</v>
      </c>
      <c r="C59" s="1017"/>
      <c r="D59" s="1017"/>
      <c r="E59" s="1017"/>
      <c r="F59" s="1017"/>
      <c r="G59" s="1017"/>
      <c r="H59" s="1017"/>
      <c r="I59" s="1105"/>
      <c r="J59" s="1105"/>
      <c r="K59" s="1105"/>
      <c r="L59" s="1105"/>
      <c r="M59" s="1105"/>
      <c r="N59" s="1105"/>
      <c r="O59" s="1105"/>
      <c r="P59" s="1105"/>
      <c r="Q59" s="1105"/>
      <c r="R59" s="1105"/>
      <c r="S59" s="1105"/>
      <c r="T59" s="638" t="str">
        <f>IF(NOT(ISNUMBER(U51)),"","$")</f>
        <v/>
      </c>
      <c r="U59" s="1080" t="str">
        <f>AdjustedChildSupportIncomeA</f>
        <v/>
      </c>
      <c r="V59" s="1080"/>
      <c r="W59" s="1080"/>
      <c r="X59" s="638" t="str">
        <f>IF(NOT(ISNUMBER(Y51)),"","$")</f>
        <v/>
      </c>
      <c r="Y59" s="1292" t="str">
        <f>AdjustedChildSupportIncomeB</f>
        <v/>
      </c>
      <c r="Z59" s="1292"/>
      <c r="AA59" s="1292"/>
      <c r="AB59" s="590"/>
      <c r="AC59" s="590"/>
      <c r="AD59" s="592"/>
      <c r="AE59" s="592"/>
      <c r="AF59" s="592"/>
      <c r="AG59" s="307"/>
      <c r="AH59" s="307"/>
      <c r="AI59" s="592"/>
      <c r="AJ59" s="592"/>
      <c r="AK59" s="592"/>
    </row>
    <row r="60" spans="1:37" ht="22.2" customHeight="1" thickBot="1" x14ac:dyDescent="0.3">
      <c r="A60" s="573"/>
      <c r="B60" s="631"/>
      <c r="C60" s="864" t="s">
        <v>67</v>
      </c>
      <c r="D60" s="864"/>
      <c r="E60" s="864"/>
      <c r="F60" s="864"/>
      <c r="G60" s="864"/>
      <c r="H60" s="864"/>
      <c r="I60" s="864"/>
      <c r="J60" s="864"/>
      <c r="K60" s="864"/>
      <c r="L60" s="864"/>
      <c r="M60" s="864"/>
      <c r="N60" s="864"/>
      <c r="O60" s="864"/>
      <c r="P60" s="864"/>
      <c r="Q60" s="629"/>
      <c r="R60" s="629"/>
      <c r="S60" s="629"/>
      <c r="T60" s="629"/>
      <c r="U60" s="629"/>
      <c r="V60" s="638" t="str">
        <f>IF(OR(NOT(ISNUMBER(U51)),NOT(ISNUMBER(Y51))),"","$")</f>
        <v/>
      </c>
      <c r="W60" s="1069" t="str">
        <f>CombinedAdjustedChildSupportIncome</f>
        <v/>
      </c>
      <c r="X60" s="1069"/>
      <c r="Y60" s="1069"/>
      <c r="Z60" s="1282"/>
      <c r="AA60" s="1282"/>
      <c r="AB60" s="396" t="s">
        <v>59</v>
      </c>
      <c r="AC60" s="402"/>
      <c r="AD60" s="592"/>
      <c r="AE60" s="592"/>
      <c r="AF60" s="592"/>
      <c r="AG60" s="206"/>
      <c r="AH60" s="206"/>
      <c r="AI60" s="592"/>
      <c r="AJ60" s="592"/>
      <c r="AK60" s="592"/>
    </row>
    <row r="61" spans="1:37" ht="22.2" customHeight="1" thickTop="1" x14ac:dyDescent="0.25">
      <c r="A61" s="573"/>
      <c r="B61" s="1017" t="str">
        <f>IF(U47=1,"Basic Combined Child Support Obligation For 1 Child:",IF(U47&gt;1,"Basic Combined Child Support Obligation For " &amp;TEXT(U47,"0")&amp;" Children:","Basic Combined Child Support Obligation For ___ Child(ren):"))</f>
        <v>Basic Combined Child Support Obligation For  Children:</v>
      </c>
      <c r="C61" s="865"/>
      <c r="D61" s="865"/>
      <c r="E61" s="865"/>
      <c r="F61" s="865"/>
      <c r="G61" s="865"/>
      <c r="H61" s="865"/>
      <c r="I61" s="865"/>
      <c r="J61" s="865"/>
      <c r="K61" s="865"/>
      <c r="L61" s="865"/>
      <c r="M61" s="865"/>
      <c r="N61" s="865"/>
      <c r="O61" s="865"/>
      <c r="P61" s="865"/>
      <c r="Q61" s="865"/>
      <c r="R61" s="865"/>
      <c r="S61" s="865"/>
      <c r="T61" s="865"/>
      <c r="U61" s="865"/>
      <c r="V61" s="638" t="str">
        <f>IF(ISNUMBER(W61),"$","")</f>
        <v/>
      </c>
      <c r="W61" s="1070" t="str">
        <f>BasicChildSupportObligation</f>
        <v/>
      </c>
      <c r="X61" s="1071"/>
      <c r="Y61" s="1071"/>
      <c r="Z61" s="884"/>
      <c r="AA61" s="884"/>
      <c r="AB61" s="590"/>
      <c r="AC61" s="590"/>
      <c r="AD61" s="592"/>
      <c r="AE61" s="592"/>
      <c r="AF61" s="592"/>
      <c r="AG61" s="206"/>
      <c r="AH61" s="206"/>
      <c r="AI61" s="592"/>
      <c r="AJ61" s="592"/>
      <c r="AK61" s="592"/>
    </row>
    <row r="62" spans="1:37" ht="22.2" customHeight="1" x14ac:dyDescent="0.25">
      <c r="A62" s="573"/>
      <c r="B62" s="1017" t="s">
        <v>68</v>
      </c>
      <c r="C62" s="865"/>
      <c r="D62" s="865"/>
      <c r="E62" s="865"/>
      <c r="F62" s="865"/>
      <c r="G62" s="865"/>
      <c r="H62" s="865"/>
      <c r="I62" s="865"/>
      <c r="J62" s="865"/>
      <c r="K62" s="865"/>
      <c r="L62" s="865"/>
      <c r="M62" s="865"/>
      <c r="N62" s="865"/>
      <c r="O62" s="865"/>
      <c r="P62" s="865"/>
      <c r="Q62" s="865"/>
      <c r="R62" s="865"/>
      <c r="S62" s="865"/>
      <c r="T62" s="865"/>
      <c r="U62" s="629"/>
      <c r="V62" s="629"/>
      <c r="W62" s="1076" t="str">
        <f ca="1">OlderChildAdjustment</f>
        <v/>
      </c>
      <c r="X62" s="1077"/>
      <c r="Y62" s="1077"/>
      <c r="Z62" s="884"/>
      <c r="AA62" s="884"/>
      <c r="AB62" s="590"/>
      <c r="AC62" s="590"/>
      <c r="AD62" s="592"/>
      <c r="AE62" s="592"/>
      <c r="AF62" s="592"/>
      <c r="AG62" s="206"/>
      <c r="AH62" s="206"/>
      <c r="AI62" s="206"/>
      <c r="AJ62" s="206"/>
      <c r="AK62" s="206"/>
    </row>
    <row r="63" spans="1:37" ht="6" customHeight="1" x14ac:dyDescent="0.25">
      <c r="A63" s="573"/>
      <c r="B63" s="864"/>
      <c r="C63" s="631"/>
      <c r="D63" s="629"/>
      <c r="E63" s="629"/>
      <c r="F63" s="73" t="str">
        <f>IF(ISNUMBER(G63),".","")</f>
        <v/>
      </c>
      <c r="G63" s="500"/>
      <c r="H63" s="631"/>
      <c r="I63" s="631"/>
      <c r="J63" s="631"/>
      <c r="K63" s="631"/>
      <c r="L63" s="631"/>
      <c r="M63" s="73"/>
      <c r="N63" s="610"/>
      <c r="O63" s="610"/>
      <c r="P63" s="631"/>
      <c r="Q63" s="1029" t="s">
        <v>69</v>
      </c>
      <c r="R63" s="1030"/>
      <c r="S63" s="1030"/>
      <c r="T63" s="1030"/>
      <c r="U63" s="884"/>
      <c r="V63" s="884"/>
      <c r="W63" s="1078"/>
      <c r="X63" s="1078"/>
      <c r="Y63" s="1078"/>
      <c r="Z63" s="884"/>
      <c r="AA63" s="884"/>
      <c r="AB63" s="590"/>
      <c r="AC63" s="590"/>
      <c r="AD63" s="592"/>
      <c r="AE63" s="592"/>
      <c r="AF63" s="592"/>
      <c r="AG63" s="206"/>
      <c r="AH63" s="206"/>
      <c r="AI63" s="206"/>
      <c r="AJ63" s="206"/>
      <c r="AK63" s="206"/>
    </row>
    <row r="64" spans="1:37" ht="12" customHeight="1" x14ac:dyDescent="0.25">
      <c r="A64" s="573"/>
      <c r="B64" s="864"/>
      <c r="C64" s="864" t="s">
        <v>70</v>
      </c>
      <c r="D64" s="884"/>
      <c r="E64" s="884"/>
      <c r="F64" s="882"/>
      <c r="G64" s="219">
        <f ca="1">IF(ISNUMBER(G63),G63,Children12Over)</f>
        <v>0</v>
      </c>
      <c r="H64" s="1048" t="str">
        <f ca="1">IF(G64&gt;1,"Children","Child")&amp;" Age 12 and over at "&amp;OlderChildAdjustmentRate&amp;"%"</f>
        <v>Child Age 12 and over at 10%</v>
      </c>
      <c r="I64" s="1048"/>
      <c r="J64" s="1048"/>
      <c r="K64" s="1048"/>
      <c r="L64" s="1048"/>
      <c r="M64" s="1048"/>
      <c r="N64" s="1048"/>
      <c r="O64" s="1048"/>
      <c r="P64" s="1048"/>
      <c r="Q64" s="1030"/>
      <c r="R64" s="1030"/>
      <c r="S64" s="1030"/>
      <c r="T64" s="1030"/>
      <c r="U64" s="884"/>
      <c r="V64" s="884"/>
      <c r="W64" s="1079"/>
      <c r="X64" s="1079"/>
      <c r="Y64" s="1079"/>
      <c r="Z64" s="884"/>
      <c r="AA64" s="884"/>
      <c r="AB64" s="396" t="s">
        <v>59</v>
      </c>
      <c r="AC64" s="590"/>
      <c r="AD64" s="592"/>
      <c r="AE64" s="592"/>
      <c r="AF64" s="592"/>
      <c r="AG64" s="206"/>
      <c r="AH64" s="206"/>
      <c r="AI64" s="206"/>
      <c r="AJ64" s="206"/>
      <c r="AK64" s="206"/>
    </row>
    <row r="65" spans="1:36" ht="20.25" customHeight="1" thickBot="1" x14ac:dyDescent="0.3">
      <c r="A65" s="573"/>
      <c r="B65" s="864"/>
      <c r="C65" s="864" t="str">
        <f>"Medical, Dental and Vision Insurance Paid By" &amp; IF(AND(U65&gt;0,Y65&gt;0)," Both Parents",IF(U65&gt;0," Parent A",IF(Y65&gt;0," Parent B",""))) &amp; ":"</f>
        <v>Medical, Dental and Vision Insurance Paid By:</v>
      </c>
      <c r="D65" s="864"/>
      <c r="E65" s="864"/>
      <c r="F65" s="864"/>
      <c r="G65" s="864"/>
      <c r="H65" s="864"/>
      <c r="I65" s="864"/>
      <c r="J65" s="864"/>
      <c r="K65" s="864"/>
      <c r="L65" s="864"/>
      <c r="M65" s="864"/>
      <c r="N65" s="864"/>
      <c r="O65" s="864"/>
      <c r="P65" s="864"/>
      <c r="Q65" s="1029" t="s">
        <v>69</v>
      </c>
      <c r="R65" s="1065"/>
      <c r="S65" s="1065"/>
      <c r="T65" s="1065"/>
      <c r="U65" s="1058"/>
      <c r="V65" s="1058"/>
      <c r="W65" s="1058"/>
      <c r="X65" s="1059"/>
      <c r="Y65" s="1058"/>
      <c r="Z65" s="1058"/>
      <c r="AA65" s="1058"/>
      <c r="AB65" s="396" t="s">
        <v>59</v>
      </c>
      <c r="AC65" s="590"/>
      <c r="AD65" s="206"/>
      <c r="AE65" s="206"/>
      <c r="AF65" s="206"/>
      <c r="AG65" s="206"/>
      <c r="AH65" s="206"/>
      <c r="AI65" s="206"/>
      <c r="AJ65" s="206"/>
    </row>
    <row r="66" spans="1:36" ht="6" customHeight="1" thickTop="1" x14ac:dyDescent="0.25">
      <c r="A66" s="573"/>
      <c r="B66" s="864"/>
      <c r="C66" s="648"/>
      <c r="D66" s="648"/>
      <c r="E66" s="648"/>
      <c r="F66" s="648"/>
      <c r="G66" s="573"/>
      <c r="H66" s="139" t="str">
        <f>IF(ISNUMBER(I66),".","")</f>
        <v/>
      </c>
      <c r="I66" s="501"/>
      <c r="J66" s="573"/>
      <c r="K66" s="655"/>
      <c r="L66" s="573"/>
      <c r="M66" s="573"/>
      <c r="N66" s="648"/>
      <c r="O66" s="648"/>
      <c r="P66" s="654"/>
      <c r="Q66" s="1061" t="s">
        <v>71</v>
      </c>
      <c r="R66" s="947"/>
      <c r="S66" s="947"/>
      <c r="T66" s="947"/>
      <c r="U66" s="952"/>
      <c r="V66" s="1062"/>
      <c r="W66" s="1062"/>
      <c r="X66" s="1060"/>
      <c r="Y66" s="952"/>
      <c r="Z66" s="1062"/>
      <c r="AA66" s="1062"/>
      <c r="AB66" s="590"/>
      <c r="AC66" s="590"/>
      <c r="AD66" s="206"/>
      <c r="AE66" s="206"/>
      <c r="AF66" s="206"/>
      <c r="AG66" s="206"/>
      <c r="AH66" s="206"/>
      <c r="AI66" s="206"/>
      <c r="AJ66" s="206"/>
    </row>
    <row r="67" spans="1:36" ht="15.75" customHeight="1" thickBot="1" x14ac:dyDescent="0.3">
      <c r="A67" s="573"/>
      <c r="B67" s="864"/>
      <c r="C67" s="1015" t="s">
        <v>72</v>
      </c>
      <c r="D67" s="951"/>
      <c r="E67" s="951"/>
      <c r="F67" s="951"/>
      <c r="G67" s="951"/>
      <c r="H67" s="951"/>
      <c r="I67" s="219" t="str">
        <f>IF(Children=0,"",Children12Under)</f>
        <v/>
      </c>
      <c r="J67" s="1015" t="str">
        <f>PROPER(ChildChildren)&amp;" Paid By"&amp;IF(AND(U67&gt;0,Y67&gt;0)," Both Parents",IF(U67&gt;0," Parent A",IF(Y67&gt;0," Parent B","")))&amp;":"</f>
        <v>Children Paid By:</v>
      </c>
      <c r="K67" s="1015"/>
      <c r="L67" s="1015"/>
      <c r="M67" s="1015"/>
      <c r="N67" s="1015"/>
      <c r="O67" s="1015"/>
      <c r="P67" s="1016"/>
      <c r="Q67" s="947"/>
      <c r="R67" s="947"/>
      <c r="S67" s="947"/>
      <c r="T67" s="947"/>
      <c r="U67" s="1220"/>
      <c r="V67" s="1221"/>
      <c r="W67" s="1221"/>
      <c r="X67" s="1060"/>
      <c r="Y67" s="1063"/>
      <c r="Z67" s="1064"/>
      <c r="AA67" s="1064"/>
      <c r="AB67" s="396" t="s">
        <v>59</v>
      </c>
      <c r="AC67" s="590"/>
      <c r="AD67" s="206"/>
      <c r="AE67" s="309"/>
      <c r="AF67" s="694"/>
      <c r="AG67" s="694"/>
      <c r="AH67" s="694"/>
      <c r="AI67" s="694"/>
      <c r="AJ67" s="694"/>
    </row>
    <row r="68" spans="1:36" ht="20.100000000000001" customHeight="1" thickTop="1" thickBot="1" x14ac:dyDescent="0.3">
      <c r="A68" s="573"/>
      <c r="B68" s="864"/>
      <c r="C68" s="864" t="str">
        <f>IF(AND(U68&gt;0,Y68&gt;0),"Extra Education Expenses Paid By Both Parents:",IF(U68&gt;0,"Extra Education Expenses Paid By Parent A:",IF(Y68&gt;0,"Extra Education Expenses Paid By Parent B:","Extra Education Expenses Paid By:")))</f>
        <v>Extra Education Expenses Paid By:</v>
      </c>
      <c r="D68" s="864"/>
      <c r="E68" s="864"/>
      <c r="F68" s="864"/>
      <c r="G68" s="864"/>
      <c r="H68" s="864"/>
      <c r="I68" s="864"/>
      <c r="J68" s="864"/>
      <c r="K68" s="864"/>
      <c r="L68" s="1018"/>
      <c r="M68" s="1018"/>
      <c r="N68" s="1018"/>
      <c r="O68" s="1018"/>
      <c r="P68" s="1018"/>
      <c r="Q68" s="1035" t="s">
        <v>73</v>
      </c>
      <c r="R68" s="1035"/>
      <c r="S68" s="1035"/>
      <c r="T68" s="1035"/>
      <c r="U68" s="1014"/>
      <c r="V68" s="1014"/>
      <c r="W68" s="1014"/>
      <c r="X68" s="1060"/>
      <c r="Y68" s="1057"/>
      <c r="Z68" s="1057"/>
      <c r="AA68" s="1057"/>
      <c r="AB68" s="396" t="s">
        <v>59</v>
      </c>
      <c r="AC68" s="590"/>
      <c r="AD68" s="206"/>
      <c r="AE68" s="694"/>
      <c r="AF68" s="694"/>
      <c r="AG68" s="694"/>
      <c r="AH68" s="694"/>
      <c r="AI68" s="694"/>
      <c r="AJ68" s="694"/>
    </row>
    <row r="69" spans="1:36" ht="20.100000000000001" customHeight="1" thickTop="1" thickBot="1" x14ac:dyDescent="0.3">
      <c r="A69" s="573"/>
      <c r="B69" s="864"/>
      <c r="C69" s="864" t="s">
        <v>74</v>
      </c>
      <c r="D69" s="864"/>
      <c r="E69" s="864"/>
      <c r="F69" s="864"/>
      <c r="G69" s="864"/>
      <c r="H69" s="864"/>
      <c r="I69" s="864"/>
      <c r="J69" s="864"/>
      <c r="K69" s="864"/>
      <c r="L69" s="864"/>
      <c r="M69" s="864"/>
      <c r="N69" s="864"/>
      <c r="O69" s="864"/>
      <c r="P69" s="864"/>
      <c r="Q69" s="1035" t="s">
        <v>73</v>
      </c>
      <c r="R69" s="1035"/>
      <c r="S69" s="1035"/>
      <c r="T69" s="1035"/>
      <c r="U69" s="1057"/>
      <c r="V69" s="1057"/>
      <c r="W69" s="1057"/>
      <c r="X69" s="1060"/>
      <c r="Y69" s="1057"/>
      <c r="Z69" s="1057"/>
      <c r="AA69" s="1057"/>
      <c r="AB69" s="396" t="s">
        <v>59</v>
      </c>
      <c r="AC69" s="590"/>
      <c r="AD69" s="206"/>
      <c r="AE69" s="694"/>
      <c r="AF69" s="694"/>
      <c r="AG69" s="694"/>
      <c r="AH69" s="694"/>
      <c r="AI69" s="694"/>
      <c r="AJ69" s="694"/>
    </row>
    <row r="70" spans="1:36" ht="22.2" customHeight="1" thickTop="1" thickBot="1" x14ac:dyDescent="0.3">
      <c r="A70" s="573"/>
      <c r="B70" s="1017" t="s">
        <v>75</v>
      </c>
      <c r="C70" s="864"/>
      <c r="D70" s="864"/>
      <c r="E70" s="864"/>
      <c r="F70" s="864"/>
      <c r="G70" s="864"/>
      <c r="H70" s="864"/>
      <c r="I70" s="864"/>
      <c r="J70" s="1018"/>
      <c r="K70" s="1018"/>
      <c r="L70" s="1018"/>
      <c r="M70" s="1018"/>
      <c r="N70" s="1018"/>
      <c r="O70" s="1018"/>
      <c r="P70" s="1018"/>
      <c r="Q70" s="1018"/>
      <c r="R70" s="1018"/>
      <c r="S70" s="1018"/>
      <c r="T70" s="1018"/>
      <c r="U70" s="739"/>
      <c r="V70" s="506" t="str">
        <f>IF(NOT(ISNUMBER(W61)),"","$")</f>
        <v/>
      </c>
      <c r="W70" s="1038" t="str">
        <f>CombinedChildSupportObligation</f>
        <v/>
      </c>
      <c r="X70" s="1038"/>
      <c r="Y70" s="1038"/>
      <c r="Z70" s="1032"/>
      <c r="AA70" s="1032"/>
      <c r="AB70" s="590"/>
      <c r="AC70" s="590"/>
      <c r="AD70" s="206"/>
      <c r="AE70" s="694"/>
      <c r="AF70" s="694"/>
      <c r="AG70" s="694"/>
      <c r="AH70" s="694"/>
      <c r="AI70" s="694"/>
      <c r="AJ70" s="694"/>
    </row>
    <row r="71" spans="1:36" ht="21" customHeight="1" thickTop="1" x14ac:dyDescent="0.25">
      <c r="A71" s="573"/>
      <c r="B71" s="864"/>
      <c r="C71" s="864" t="s">
        <v>76</v>
      </c>
      <c r="D71" s="864"/>
      <c r="E71" s="864"/>
      <c r="F71" s="864"/>
      <c r="G71" s="864"/>
      <c r="H71" s="864"/>
      <c r="I71" s="864"/>
      <c r="J71" s="864"/>
      <c r="K71" s="864"/>
      <c r="L71" s="864"/>
      <c r="M71" s="864"/>
      <c r="N71" s="864"/>
      <c r="O71" s="864"/>
      <c r="P71" s="864"/>
      <c r="Q71" s="1018"/>
      <c r="R71" s="1018"/>
      <c r="S71" s="1018"/>
      <c r="T71" s="1018"/>
      <c r="U71" s="1022" t="str">
        <f>ObligationPercentageA</f>
        <v/>
      </c>
      <c r="V71" s="1022"/>
      <c r="W71" s="1022"/>
      <c r="X71" s="742"/>
      <c r="Y71" s="1022" t="str">
        <f>ObligationPercentageB</f>
        <v/>
      </c>
      <c r="Z71" s="1022"/>
      <c r="AA71" s="1022"/>
      <c r="AB71" s="396" t="s">
        <v>59</v>
      </c>
      <c r="AC71" s="590"/>
      <c r="AD71" s="206"/>
      <c r="AE71" s="694"/>
      <c r="AF71" s="610"/>
      <c r="AG71" s="610"/>
      <c r="AH71" s="610"/>
      <c r="AI71" s="610"/>
      <c r="AJ71" s="610"/>
    </row>
    <row r="72" spans="1:36" ht="21" customHeight="1" x14ac:dyDescent="0.25">
      <c r="A72" s="573"/>
      <c r="B72" s="884"/>
      <c r="C72" s="864" t="s">
        <v>77</v>
      </c>
      <c r="D72" s="884"/>
      <c r="E72" s="884"/>
      <c r="F72" s="884"/>
      <c r="G72" s="884"/>
      <c r="H72" s="884"/>
      <c r="I72" s="884"/>
      <c r="J72" s="884"/>
      <c r="K72" s="884"/>
      <c r="L72" s="884"/>
      <c r="M72" s="884"/>
      <c r="N72" s="884"/>
      <c r="O72" s="884"/>
      <c r="P72" s="884"/>
      <c r="Q72" s="884"/>
      <c r="R72" s="884"/>
      <c r="S72" s="884"/>
      <c r="T72" s="650" t="str">
        <f>IF(OR(NOT(ISNUMBER(W70)),NOT(ISNUMBER(U71))),"","$")</f>
        <v/>
      </c>
      <c r="U72" s="1025" t="str">
        <f>ObligationShareA</f>
        <v/>
      </c>
      <c r="V72" s="1025"/>
      <c r="W72" s="1042"/>
      <c r="X72" s="741" t="str">
        <f>IF(OR(NOT(ISNUMBER(W70)),NOT(ISNUMBER(Y71))),"","$")</f>
        <v/>
      </c>
      <c r="Y72" s="1042" t="str">
        <f>ObligationShareB</f>
        <v/>
      </c>
      <c r="Z72" s="1043"/>
      <c r="AA72" s="1043"/>
      <c r="AB72" s="590"/>
      <c r="AC72" s="590"/>
      <c r="AD72" s="478"/>
      <c r="AE72" s="484"/>
      <c r="AF72" s="610"/>
      <c r="AG72" s="610"/>
      <c r="AH72" s="610"/>
      <c r="AI72" s="610"/>
      <c r="AJ72" s="610"/>
    </row>
    <row r="73" spans="1:36" ht="21.75" customHeight="1" x14ac:dyDescent="0.25">
      <c r="A73" s="573"/>
      <c r="B73" s="884"/>
      <c r="C73" s="1017" t="str">
        <f>"Parenting Time Adjustment"&amp;IF(ParentingPlan="Parent A"," For Parent B Using",IF(ParentingPlan="Parent B"," For Parent A Using",""))</f>
        <v>Parenting Time Adjustment</v>
      </c>
      <c r="D73" s="1017"/>
      <c r="E73" s="1017"/>
      <c r="F73" s="1017"/>
      <c r="G73" s="1017"/>
      <c r="H73" s="1017"/>
      <c r="I73" s="1017"/>
      <c r="J73" s="1017"/>
      <c r="K73" s="1017"/>
      <c r="L73" s="1017"/>
      <c r="M73" s="1017"/>
      <c r="N73" s="1017"/>
      <c r="O73" s="1017"/>
      <c r="P73" s="1017"/>
      <c r="Q73" s="1029" t="s">
        <v>78</v>
      </c>
      <c r="R73" s="884"/>
      <c r="S73" s="884"/>
      <c r="T73" s="884"/>
      <c r="U73" s="1020"/>
      <c r="V73" s="1020"/>
      <c r="W73" s="1020"/>
      <c r="X73" s="1036"/>
      <c r="Y73" s="1020"/>
      <c r="Z73" s="1020"/>
      <c r="AA73" s="1020"/>
      <c r="AB73" s="590"/>
      <c r="AC73" s="590"/>
      <c r="AD73" s="206"/>
      <c r="AE73" s="610"/>
      <c r="AF73" s="610"/>
      <c r="AG73" s="610"/>
      <c r="AH73" s="610"/>
      <c r="AI73" s="610"/>
      <c r="AJ73" s="610"/>
    </row>
    <row r="74" spans="1:36" ht="6" customHeight="1" x14ac:dyDescent="0.25">
      <c r="A74" s="573"/>
      <c r="B74" s="884"/>
      <c r="C74" s="203"/>
      <c r="D74" s="740"/>
      <c r="E74" s="740"/>
      <c r="F74" s="740"/>
      <c r="G74" s="644"/>
      <c r="H74" s="195"/>
      <c r="I74" s="394"/>
      <c r="J74" s="203"/>
      <c r="K74" s="1045"/>
      <c r="L74" s="1045"/>
      <c r="M74" s="203"/>
      <c r="N74" s="73" t="str">
        <f>IF(ISNUMBER(O74),".","")</f>
        <v/>
      </c>
      <c r="O74" s="1044"/>
      <c r="P74" s="1044"/>
      <c r="Q74" s="573"/>
      <c r="R74" s="206"/>
      <c r="S74" s="7"/>
      <c r="T74" s="70"/>
      <c r="U74" s="1023" t="str">
        <f>IF(ISNUMBER(ParentingTimeAdjustmentA),-ParentingTimeAdjustmentA,"")</f>
        <v/>
      </c>
      <c r="V74" s="1024"/>
      <c r="W74" s="1024"/>
      <c r="X74" s="1019"/>
      <c r="Y74" s="1023" t="str">
        <f>IF(ISNUMBER(ParentingTimeAdjustmentB),-ParentingTimeAdjustmentB,"")</f>
        <v/>
      </c>
      <c r="Z74" s="1024"/>
      <c r="AA74" s="1024"/>
      <c r="AB74" s="590"/>
      <c r="AC74" s="590"/>
      <c r="AD74" s="206"/>
      <c r="AE74" s="206"/>
      <c r="AF74" s="206"/>
      <c r="AG74" s="206"/>
      <c r="AH74" s="206"/>
      <c r="AI74" s="206"/>
      <c r="AJ74" s="206"/>
    </row>
    <row r="75" spans="1:36" ht="15.75" customHeight="1" thickBot="1" x14ac:dyDescent="0.3">
      <c r="A75" s="573"/>
      <c r="B75" s="884"/>
      <c r="C75" s="1039" t="s">
        <v>79</v>
      </c>
      <c r="D75" s="1040"/>
      <c r="E75" s="1040"/>
      <c r="F75" s="1040"/>
      <c r="G75" s="1040"/>
      <c r="H75" s="1041"/>
      <c r="I75" s="587"/>
      <c r="J75" s="743" t="s">
        <v>80</v>
      </c>
      <c r="K75" s="1046"/>
      <c r="L75" s="1046"/>
      <c r="M75" s="1033" t="s">
        <v>81</v>
      </c>
      <c r="N75" s="1034"/>
      <c r="O75" s="1026">
        <f>ParentingTimePercentage</f>
        <v>0</v>
      </c>
      <c r="P75" s="1027"/>
      <c r="Q75" s="206"/>
      <c r="R75" s="206"/>
      <c r="S75" s="573"/>
      <c r="T75" s="644"/>
      <c r="U75" s="1025"/>
      <c r="V75" s="1025"/>
      <c r="W75" s="1025"/>
      <c r="X75" s="1019"/>
      <c r="Y75" s="1025"/>
      <c r="Z75" s="1025"/>
      <c r="AA75" s="1025"/>
      <c r="AB75" s="396" t="s">
        <v>59</v>
      </c>
      <c r="AC75" s="590"/>
      <c r="AD75" s="206"/>
      <c r="AE75" s="206"/>
      <c r="AF75" s="206"/>
      <c r="AG75" s="206"/>
      <c r="AH75" s="206"/>
      <c r="AI75" s="206"/>
      <c r="AJ75" s="206"/>
    </row>
    <row r="76" spans="1:36" ht="22.2" customHeight="1" thickTop="1" x14ac:dyDescent="0.25">
      <c r="A76" s="573"/>
      <c r="B76" s="884"/>
      <c r="C76" s="864" t="s">
        <v>82</v>
      </c>
      <c r="D76" s="864"/>
      <c r="E76" s="864"/>
      <c r="F76" s="864"/>
      <c r="G76" s="864"/>
      <c r="H76" s="864"/>
      <c r="I76" s="864"/>
      <c r="J76" s="864"/>
      <c r="K76" s="864"/>
      <c r="L76" s="864"/>
      <c r="M76" s="864"/>
      <c r="N76" s="864"/>
      <c r="O76" s="864"/>
      <c r="P76" s="864"/>
      <c r="Q76" s="864"/>
      <c r="R76" s="864"/>
      <c r="S76" s="864"/>
      <c r="T76" s="644"/>
      <c r="U76" s="1025" t="str">
        <f>IF(NOT(Ready),"",-BasicChildSupportObligationAdjustmentsA)</f>
        <v/>
      </c>
      <c r="V76" s="1025"/>
      <c r="W76" s="1025"/>
      <c r="X76" s="1019"/>
      <c r="Y76" s="1025" t="str">
        <f>IF(NOT(Ready),"",-BasicChildSupportObligationAdjustmentsB)</f>
        <v/>
      </c>
      <c r="Z76" s="1025"/>
      <c r="AA76" s="1025"/>
      <c r="AB76" s="396" t="s">
        <v>59</v>
      </c>
      <c r="AC76" s="590"/>
      <c r="AD76" s="206"/>
      <c r="AE76" s="206"/>
      <c r="AF76" s="206"/>
      <c r="AG76" s="206"/>
      <c r="AH76" s="206"/>
      <c r="AI76" s="206"/>
      <c r="AJ76" s="206"/>
    </row>
    <row r="77" spans="1:36" ht="22.2" customHeight="1" thickBot="1" x14ac:dyDescent="0.3">
      <c r="A77" s="573"/>
      <c r="B77" s="1017" t="s">
        <v>83</v>
      </c>
      <c r="C77" s="884"/>
      <c r="D77" s="884"/>
      <c r="E77" s="884"/>
      <c r="F77" s="884"/>
      <c r="G77" s="884"/>
      <c r="H77" s="884"/>
      <c r="I77" s="884"/>
      <c r="J77" s="884"/>
      <c r="K77" s="884"/>
      <c r="L77" s="884"/>
      <c r="M77" s="884"/>
      <c r="N77" s="884"/>
      <c r="O77" s="884"/>
      <c r="P77" s="884"/>
      <c r="Q77" s="884"/>
      <c r="R77" s="884"/>
      <c r="S77" s="884"/>
      <c r="T77" s="638" t="str">
        <f>IF(NOT(ISNUMBER(U72)),"","$")</f>
        <v/>
      </c>
      <c r="U77" s="1037" t="str">
        <f>ProportionateChildSupportObligationA</f>
        <v/>
      </c>
      <c r="V77" s="1037"/>
      <c r="W77" s="1037"/>
      <c r="X77" s="71" t="str">
        <f>IF(NOT(ISNUMBER(Y72)),"","$")</f>
        <v/>
      </c>
      <c r="Y77" s="1037" t="str">
        <f>ProportionateChildSupportObligationB</f>
        <v/>
      </c>
      <c r="Z77" s="1037"/>
      <c r="AA77" s="1037"/>
      <c r="AB77" s="396" t="s">
        <v>59</v>
      </c>
      <c r="AC77" s="590"/>
      <c r="AD77" s="206"/>
      <c r="AE77" s="745"/>
      <c r="AF77" s="745"/>
      <c r="AG77" s="206"/>
      <c r="AH77" s="206"/>
      <c r="AI77" s="206"/>
      <c r="AJ77" s="206"/>
    </row>
    <row r="78" spans="1:36" ht="18.75" customHeight="1" thickTop="1" x14ac:dyDescent="0.25">
      <c r="A78" s="573"/>
      <c r="B78" s="1284" t="str">
        <f>"Self-Support Reserve Test:  "&amp;Obligor&amp;"'s Adjusted Child Support Income:"</f>
        <v>Self-Support Reserve Test:  the obligor's Adjusted Child Support Income:</v>
      </c>
      <c r="C78" s="1285"/>
      <c r="D78" s="1285"/>
      <c r="E78" s="1285"/>
      <c r="F78" s="1285"/>
      <c r="G78" s="1285"/>
      <c r="H78" s="1285"/>
      <c r="I78" s="1285"/>
      <c r="J78" s="1285"/>
      <c r="K78" s="1285"/>
      <c r="L78" s="1285"/>
      <c r="M78" s="1285"/>
      <c r="N78" s="862" t="str">
        <f>ObligorACSI</f>
        <v/>
      </c>
      <c r="O78" s="1031"/>
      <c r="P78" s="1031"/>
      <c r="Q78" s="1035" t="s">
        <v>73</v>
      </c>
      <c r="R78" s="1035"/>
      <c r="S78" s="1035"/>
      <c r="T78" s="1035"/>
      <c r="U78" s="1020"/>
      <c r="V78" s="1020"/>
      <c r="W78" s="1020"/>
      <c r="X78" s="1019"/>
      <c r="Y78" s="1020"/>
      <c r="Z78" s="1020"/>
      <c r="AA78" s="1020"/>
      <c r="AB78" s="396" t="s">
        <v>59</v>
      </c>
      <c r="AC78" s="590"/>
      <c r="AD78" s="206"/>
      <c r="AE78" s="745"/>
      <c r="AF78" s="745"/>
      <c r="AG78" s="206"/>
      <c r="AH78" s="206"/>
      <c r="AI78" s="206"/>
      <c r="AJ78" s="206"/>
    </row>
    <row r="79" spans="1:36" ht="18.75" customHeight="1" x14ac:dyDescent="0.25">
      <c r="A79" s="573"/>
      <c r="B79" s="631"/>
      <c r="C79" s="651" t="s">
        <v>84</v>
      </c>
      <c r="D79" s="740"/>
      <c r="E79" s="740"/>
      <c r="F79" s="740"/>
      <c r="G79" s="644"/>
      <c r="H79" s="644"/>
      <c r="I79" s="644"/>
      <c r="J79" s="644"/>
      <c r="K79" s="898" t="str">
        <f>IF(ISNUMBER(SelfSupportReserve),SelfSupportReserve*-1,"")</f>
        <v/>
      </c>
      <c r="L79" s="899"/>
      <c r="M79" s="899"/>
      <c r="N79" s="866"/>
      <c r="O79" s="867"/>
      <c r="P79" s="867"/>
      <c r="Q79" s="862" t="str">
        <f>SelfSupportReserveTest</f>
        <v/>
      </c>
      <c r="R79" s="863"/>
      <c r="S79" s="863"/>
      <c r="T79" s="629"/>
      <c r="U79" s="1021" t="str">
        <f>IF(ISNUMBER(SelfSupportReserveAdjustmentA),-SelfSupportReserveAdjustmentA,"")</f>
        <v/>
      </c>
      <c r="V79" s="1021"/>
      <c r="W79" s="1021"/>
      <c r="X79" s="1019"/>
      <c r="Y79" s="1021" t="str">
        <f>IF(ISNUMBER(SelfSupportReserveAdjustmentB),-SelfSupportReserveAdjustmentB,"")</f>
        <v/>
      </c>
      <c r="Z79" s="1021"/>
      <c r="AA79" s="1021"/>
      <c r="AB79" s="590"/>
      <c r="AC79" s="590"/>
      <c r="AD79" s="206"/>
      <c r="AE79" s="206"/>
      <c r="AF79" s="206"/>
      <c r="AG79" s="206"/>
      <c r="AH79" s="206"/>
      <c r="AI79" s="206"/>
      <c r="AJ79" s="206"/>
    </row>
    <row r="80" spans="1:36" ht="18.75" customHeight="1" thickBot="1" x14ac:dyDescent="0.3">
      <c r="A80" s="573"/>
      <c r="B80" s="206"/>
      <c r="C80" s="864" t="s">
        <v>85</v>
      </c>
      <c r="D80" s="865"/>
      <c r="E80" s="865"/>
      <c r="F80" s="865"/>
      <c r="G80" s="865"/>
      <c r="H80" s="865"/>
      <c r="I80" s="865"/>
      <c r="J80" s="865"/>
      <c r="K80" s="865"/>
      <c r="L80" s="507"/>
      <c r="M80" s="746"/>
      <c r="N80" s="651"/>
      <c r="O80" s="651"/>
      <c r="P80" s="651"/>
      <c r="Q80" s="919" t="s">
        <v>86</v>
      </c>
      <c r="R80" s="919"/>
      <c r="S80" s="919"/>
      <c r="T80" s="883" t="str">
        <f ca="1">IF(OR(NOT(ISNUMBER(U77)),AND(NOT(ISBLANK(P49)),EqualTimeA&gt;=EqualTimeB),AND(NOT(ISBLANK(J49)),Y77&gt;0),AND(NOT(ISBLANK(M49)),U77&lt;0)),"","$")</f>
        <v/>
      </c>
      <c r="U80" s="868" t="str">
        <f>FinalChildSupportObligationA</f>
        <v/>
      </c>
      <c r="V80" s="868"/>
      <c r="W80" s="868"/>
      <c r="X80" s="883" t="str">
        <f ca="1">IF(OR(NOT(ISNUMBER(Y77)),AND(NOT(ISBLANK(P49)),EqualTimeB&gt;=EqualTimeA),AND(NOT(ISBLANK(M49)),U77&gt;0),AND(NOT(ISBLANK(J49)),Y77&lt;0)),"","$")</f>
        <v/>
      </c>
      <c r="Y80" s="1287" t="str">
        <f>FinalChildSupportObligationB</f>
        <v/>
      </c>
      <c r="Z80" s="1287"/>
      <c r="AA80" s="1287"/>
      <c r="AB80" s="590"/>
      <c r="AC80" s="590"/>
      <c r="AD80" s="206"/>
      <c r="AE80" s="206"/>
      <c r="AF80" s="206"/>
      <c r="AG80" s="206"/>
      <c r="AH80" s="206"/>
      <c r="AI80" s="206"/>
      <c r="AJ80" s="206"/>
    </row>
    <row r="81" spans="1:36" ht="22.2" customHeight="1" thickTop="1" thickBot="1" x14ac:dyDescent="0.3">
      <c r="A81" s="573"/>
      <c r="B81" s="1017" t="str">
        <f>"Monthly Child Support amount to be paid by "&amp;Obligor&amp;":"</f>
        <v>Monthly Child Support amount to be paid by the obligor:</v>
      </c>
      <c r="C81" s="865"/>
      <c r="D81" s="865"/>
      <c r="E81" s="865"/>
      <c r="F81" s="865"/>
      <c r="G81" s="865"/>
      <c r="H81" s="865"/>
      <c r="I81" s="865"/>
      <c r="J81" s="865"/>
      <c r="K81" s="865"/>
      <c r="L81" s="865"/>
      <c r="M81" s="865"/>
      <c r="N81" s="865"/>
      <c r="O81" s="865"/>
      <c r="P81" s="865"/>
      <c r="Q81" s="865"/>
      <c r="R81" s="865"/>
      <c r="S81" s="865"/>
      <c r="T81" s="884"/>
      <c r="U81" s="869"/>
      <c r="V81" s="869"/>
      <c r="W81" s="869"/>
      <c r="X81" s="884"/>
      <c r="Y81" s="1288"/>
      <c r="Z81" s="1288"/>
      <c r="AA81" s="1288"/>
      <c r="AB81" s="590"/>
      <c r="AC81" s="590"/>
      <c r="AD81" s="206"/>
      <c r="AE81" s="206"/>
      <c r="AF81" s="206"/>
      <c r="AG81" s="206"/>
      <c r="AH81" s="206"/>
      <c r="AI81" s="206"/>
      <c r="AJ81" s="206"/>
    </row>
    <row r="82" spans="1:36" ht="12.75" customHeight="1" thickTop="1" x14ac:dyDescent="0.25">
      <c r="A82" s="573"/>
      <c r="B82" s="631"/>
      <c r="C82" s="631"/>
      <c r="D82" s="631"/>
      <c r="E82" s="631"/>
      <c r="F82" s="631"/>
      <c r="G82" s="631"/>
      <c r="H82" s="631"/>
      <c r="I82" s="631"/>
      <c r="J82" s="744"/>
      <c r="K82" s="203"/>
      <c r="L82" s="659"/>
      <c r="M82" s="204"/>
      <c r="N82" s="205"/>
      <c r="O82" s="203"/>
      <c r="P82" s="205"/>
      <c r="Q82" s="205"/>
      <c r="R82" s="744"/>
      <c r="S82" s="203"/>
      <c r="T82" s="206"/>
      <c r="U82" s="207"/>
      <c r="V82" s="207"/>
      <c r="W82" s="207"/>
      <c r="X82" s="205"/>
      <c r="Y82" s="208"/>
      <c r="Z82" s="208"/>
      <c r="AA82" s="208"/>
      <c r="AB82" s="590"/>
      <c r="AC82" s="590"/>
      <c r="AD82" s="206"/>
      <c r="AE82" s="206"/>
      <c r="AF82" s="206"/>
      <c r="AG82" s="206"/>
      <c r="AH82" s="206"/>
      <c r="AI82" s="206"/>
      <c r="AJ82" s="206"/>
    </row>
    <row r="83" spans="1:36" s="191" customFormat="1" ht="15" customHeight="1" x14ac:dyDescent="0.25">
      <c r="A83" s="250"/>
      <c r="B83" s="1166" t="s">
        <v>87</v>
      </c>
      <c r="C83" s="1226"/>
      <c r="D83" s="1226"/>
      <c r="E83" s="1226"/>
      <c r="F83" s="1226"/>
      <c r="G83" s="1226"/>
      <c r="H83" s="1226"/>
      <c r="I83" s="1226"/>
      <c r="J83" s="1226"/>
      <c r="K83" s="1226"/>
      <c r="L83" s="1226"/>
      <c r="M83" s="1226"/>
      <c r="N83" s="1226"/>
      <c r="O83" s="1226"/>
      <c r="P83" s="1226"/>
      <c r="Q83" s="1226"/>
      <c r="R83" s="1226"/>
      <c r="S83" s="1226"/>
      <c r="T83" s="1226"/>
      <c r="U83" s="1226"/>
      <c r="V83" s="1226"/>
      <c r="W83" s="1226"/>
      <c r="X83" s="1226"/>
      <c r="Y83" s="1226"/>
      <c r="Z83" s="1226"/>
      <c r="AA83" s="1227"/>
      <c r="AB83" s="590"/>
      <c r="AC83" s="590"/>
    </row>
    <row r="84" spans="1:36" s="191" customFormat="1" ht="12.75" customHeight="1" x14ac:dyDescent="0.25">
      <c r="A84" s="250"/>
      <c r="B84" s="915"/>
      <c r="C84" s="915"/>
      <c r="D84" s="915"/>
      <c r="E84" s="915"/>
      <c r="F84" s="915"/>
      <c r="G84" s="915"/>
      <c r="H84" s="915"/>
      <c r="I84" s="915"/>
      <c r="J84" s="915"/>
      <c r="K84" s="915"/>
      <c r="L84" s="915"/>
      <c r="M84" s="915"/>
      <c r="N84" s="915"/>
      <c r="O84" s="915"/>
      <c r="P84" s="915"/>
      <c r="Q84" s="915"/>
      <c r="R84" s="915"/>
      <c r="S84" s="915"/>
      <c r="T84" s="915"/>
      <c r="U84" s="915"/>
      <c r="V84" s="915"/>
      <c r="W84" s="915"/>
      <c r="X84" s="915"/>
      <c r="Y84" s="915"/>
      <c r="Z84" s="915"/>
      <c r="AA84" s="915"/>
      <c r="AB84" s="590"/>
      <c r="AC84" s="590"/>
    </row>
    <row r="85" spans="1:36" ht="12.75" customHeight="1" x14ac:dyDescent="0.25">
      <c r="A85" s="573"/>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590"/>
      <c r="AC85" s="590"/>
      <c r="AD85" s="203"/>
      <c r="AE85" s="203"/>
      <c r="AF85" s="203"/>
      <c r="AG85" s="203"/>
      <c r="AH85" s="203"/>
      <c r="AI85" s="203"/>
      <c r="AJ85" s="203"/>
    </row>
    <row r="86" spans="1:36" ht="30" customHeight="1" x14ac:dyDescent="0.25">
      <c r="A86" s="573"/>
      <c r="B86" s="920" t="s">
        <v>88</v>
      </c>
      <c r="C86" s="921"/>
      <c r="D86" s="921"/>
      <c r="E86" s="921"/>
      <c r="F86" s="921"/>
      <c r="G86" s="921"/>
      <c r="H86" s="921"/>
      <c r="I86" s="921"/>
      <c r="J86" s="921"/>
      <c r="K86" s="921"/>
      <c r="L86" s="921"/>
      <c r="M86" s="921"/>
      <c r="N86" s="921"/>
      <c r="O86" s="921"/>
      <c r="P86" s="921"/>
      <c r="Q86" s="921"/>
      <c r="R86" s="921"/>
      <c r="S86" s="921"/>
      <c r="T86" s="921"/>
      <c r="U86" s="921"/>
      <c r="V86" s="921"/>
      <c r="W86" s="921"/>
      <c r="X86" s="921"/>
      <c r="Y86" s="921"/>
      <c r="Z86" s="921"/>
      <c r="AA86" s="922"/>
      <c r="AB86" s="590"/>
      <c r="AC86" s="590"/>
      <c r="AD86" s="203"/>
      <c r="AE86" s="203"/>
      <c r="AF86" s="203"/>
      <c r="AG86" s="203"/>
      <c r="AH86" s="203"/>
      <c r="AI86" s="203"/>
      <c r="AJ86" s="203"/>
    </row>
    <row r="87" spans="1:36" ht="12.75" customHeight="1" x14ac:dyDescent="0.25">
      <c r="A87" s="573"/>
      <c r="B87" s="916" t="s">
        <v>89</v>
      </c>
      <c r="C87" s="917"/>
      <c r="D87" s="917"/>
      <c r="E87" s="917"/>
      <c r="F87" s="917"/>
      <c r="G87" s="917"/>
      <c r="H87" s="917"/>
      <c r="I87" s="917"/>
      <c r="J87" s="917"/>
      <c r="K87" s="917"/>
      <c r="L87" s="917"/>
      <c r="M87" s="917"/>
      <c r="N87" s="917"/>
      <c r="O87" s="917"/>
      <c r="P87" s="917"/>
      <c r="Q87" s="917"/>
      <c r="R87" s="917"/>
      <c r="S87" s="917"/>
      <c r="T87" s="917"/>
      <c r="U87" s="917"/>
      <c r="V87" s="917"/>
      <c r="W87" s="917"/>
      <c r="X87" s="917"/>
      <c r="Y87" s="917"/>
      <c r="Z87" s="917"/>
      <c r="AA87" s="918"/>
      <c r="AB87" s="590"/>
      <c r="AC87" s="590"/>
      <c r="AD87" s="203"/>
      <c r="AE87" s="203"/>
      <c r="AF87" s="203"/>
      <c r="AG87" s="203"/>
      <c r="AH87" s="203"/>
      <c r="AI87" s="203"/>
      <c r="AJ87" s="203"/>
    </row>
    <row r="88" spans="1:36" ht="12.75" customHeight="1" x14ac:dyDescent="0.25">
      <c r="A88" s="573"/>
      <c r="B88" s="82"/>
      <c r="C88" s="693"/>
      <c r="D88" s="693"/>
      <c r="E88" s="693"/>
      <c r="F88" s="693"/>
      <c r="G88" s="693"/>
      <c r="H88" s="693"/>
      <c r="I88" s="693"/>
      <c r="J88" s="693"/>
      <c r="K88" s="693"/>
      <c r="L88" s="693"/>
      <c r="M88" s="693"/>
      <c r="N88" s="693"/>
      <c r="O88" s="693"/>
      <c r="P88" s="693"/>
      <c r="Q88" s="693"/>
      <c r="R88" s="693"/>
      <c r="S88" s="693"/>
      <c r="T88" s="693"/>
      <c r="U88" s="693"/>
      <c r="V88" s="693"/>
      <c r="W88" s="693"/>
      <c r="X88" s="693"/>
      <c r="Y88" s="693"/>
      <c r="Z88" s="693"/>
      <c r="AA88" s="83"/>
      <c r="AB88" s="590"/>
      <c r="AC88" s="590"/>
      <c r="AD88" s="203"/>
      <c r="AE88" s="203"/>
      <c r="AF88" s="203"/>
      <c r="AG88" s="203"/>
      <c r="AH88" s="203"/>
      <c r="AI88" s="203"/>
      <c r="AJ88" s="203"/>
    </row>
    <row r="89" spans="1:36" ht="12.75" customHeight="1" x14ac:dyDescent="0.25">
      <c r="A89" s="573"/>
      <c r="B89" s="82"/>
      <c r="C89" s="693"/>
      <c r="D89" s="693"/>
      <c r="E89" s="693"/>
      <c r="F89" s="693"/>
      <c r="G89" s="90" t="str">
        <f>IF(ISBLANK(G93),"x","")</f>
        <v>x</v>
      </c>
      <c r="H89" s="609" t="s">
        <v>90</v>
      </c>
      <c r="I89" s="693"/>
      <c r="J89" s="693"/>
      <c r="K89" s="693"/>
      <c r="L89" s="693"/>
      <c r="M89" s="693"/>
      <c r="N89" s="693"/>
      <c r="O89" s="693"/>
      <c r="P89" s="693"/>
      <c r="Q89" s="693"/>
      <c r="R89" s="693"/>
      <c r="S89" s="693"/>
      <c r="T89" s="693"/>
      <c r="U89" s="693"/>
      <c r="V89" s="693"/>
      <c r="W89" s="693"/>
      <c r="X89" s="693"/>
      <c r="Y89" s="693"/>
      <c r="Z89" s="693"/>
      <c r="AA89" s="83"/>
      <c r="AB89" s="590"/>
      <c r="AC89" s="590"/>
      <c r="AD89" s="203"/>
      <c r="AE89" s="203"/>
      <c r="AF89" s="203"/>
      <c r="AG89" s="203"/>
      <c r="AH89" s="203"/>
      <c r="AI89" s="203"/>
      <c r="AJ89" s="203"/>
    </row>
    <row r="90" spans="1:36" ht="12.75" customHeight="1" x14ac:dyDescent="0.25">
      <c r="A90" s="573"/>
      <c r="B90" s="82"/>
      <c r="C90" s="693"/>
      <c r="D90" s="693"/>
      <c r="E90" s="693"/>
      <c r="F90" s="693"/>
      <c r="G90" s="562"/>
      <c r="H90" s="90" t="str">
        <f>IF(AND(ISBLANK(H91),ISBLANK(H92),ISBLANK(G93)),"x","")</f>
        <v>x</v>
      </c>
      <c r="I90" s="609" t="s">
        <v>91</v>
      </c>
      <c r="J90" s="693"/>
      <c r="K90" s="693"/>
      <c r="L90" s="693"/>
      <c r="M90" s="693"/>
      <c r="N90" s="693"/>
      <c r="O90" s="693"/>
      <c r="P90" s="693"/>
      <c r="Q90" s="693"/>
      <c r="R90" s="693"/>
      <c r="S90" s="693"/>
      <c r="T90" s="693"/>
      <c r="U90" s="693"/>
      <c r="V90" s="693"/>
      <c r="W90" s="693"/>
      <c r="X90" s="693"/>
      <c r="Y90" s="693"/>
      <c r="Z90" s="693"/>
      <c r="AA90" s="83"/>
      <c r="AB90" s="590"/>
      <c r="AC90" s="590"/>
      <c r="AD90" s="203"/>
      <c r="AE90" s="203"/>
      <c r="AF90" s="203"/>
      <c r="AG90" s="203"/>
      <c r="AH90" s="203"/>
      <c r="AI90" s="203"/>
      <c r="AJ90" s="203"/>
    </row>
    <row r="91" spans="1:36" ht="12.75" customHeight="1" x14ac:dyDescent="0.25">
      <c r="A91" s="573"/>
      <c r="B91" s="563"/>
      <c r="C91" s="564"/>
      <c r="D91" s="564"/>
      <c r="E91" s="564"/>
      <c r="F91" s="564"/>
      <c r="G91" s="565"/>
      <c r="H91" s="560"/>
      <c r="I91" s="609" t="s">
        <v>92</v>
      </c>
      <c r="J91" s="693"/>
      <c r="K91" s="693"/>
      <c r="L91" s="693"/>
      <c r="M91" s="693"/>
      <c r="N91" s="693"/>
      <c r="O91" s="693"/>
      <c r="P91" s="693"/>
      <c r="Q91" s="693"/>
      <c r="R91" s="693"/>
      <c r="S91" s="693"/>
      <c r="T91" s="693"/>
      <c r="U91" s="693"/>
      <c r="V91" s="693"/>
      <c r="W91" s="693"/>
      <c r="X91" s="693"/>
      <c r="Y91" s="693"/>
      <c r="Z91" s="693"/>
      <c r="AA91" s="83"/>
      <c r="AB91" s="590"/>
      <c r="AC91" s="590"/>
      <c r="AD91" s="203"/>
      <c r="AE91" s="203"/>
      <c r="AF91" s="203"/>
      <c r="AG91" s="203"/>
      <c r="AH91" s="203"/>
      <c r="AI91" s="203"/>
      <c r="AJ91" s="203"/>
    </row>
    <row r="92" spans="1:36" ht="12.75" customHeight="1" x14ac:dyDescent="0.25">
      <c r="A92" s="573"/>
      <c r="B92" s="1264" t="str">
        <f>IF(OR(AND(H91="x",H92="x"),AND(G93="x",OR(H91="x",H92="x"))),"Check Only 1!","")</f>
        <v/>
      </c>
      <c r="C92" s="1265"/>
      <c r="D92" s="1265"/>
      <c r="E92" s="1265"/>
      <c r="F92" s="1265"/>
      <c r="G92" s="565"/>
      <c r="H92" s="560"/>
      <c r="I92" s="609" t="s">
        <v>93</v>
      </c>
      <c r="J92" s="693"/>
      <c r="K92" s="693"/>
      <c r="L92" s="693"/>
      <c r="M92" s="693"/>
      <c r="N92" s="693"/>
      <c r="O92" s="693"/>
      <c r="P92" s="693"/>
      <c r="Q92" s="693"/>
      <c r="R92" s="693"/>
      <c r="S92" s="693"/>
      <c r="T92" s="693"/>
      <c r="U92" s="693"/>
      <c r="V92" s="693"/>
      <c r="W92" s="693"/>
      <c r="X92" s="693"/>
      <c r="Y92" s="693"/>
      <c r="Z92" s="693"/>
      <c r="AA92" s="83"/>
      <c r="AB92" s="590"/>
      <c r="AC92" s="590"/>
      <c r="AD92" s="203"/>
      <c r="AE92" s="203"/>
      <c r="AF92" s="203"/>
      <c r="AG92" s="203"/>
      <c r="AH92" s="203"/>
      <c r="AI92" s="203"/>
      <c r="AJ92" s="203"/>
    </row>
    <row r="93" spans="1:36" ht="12.75" customHeight="1" x14ac:dyDescent="0.25">
      <c r="A93" s="573"/>
      <c r="B93" s="82"/>
      <c r="C93" s="693"/>
      <c r="D93" s="693"/>
      <c r="E93" s="693"/>
      <c r="F93" s="693"/>
      <c r="G93" s="560"/>
      <c r="H93" s="609" t="s">
        <v>94</v>
      </c>
      <c r="I93" s="693"/>
      <c r="J93" s="693"/>
      <c r="K93" s="693"/>
      <c r="L93" s="693"/>
      <c r="M93" s="693"/>
      <c r="N93" s="693"/>
      <c r="O93" s="693"/>
      <c r="P93" s="693"/>
      <c r="Q93" s="693"/>
      <c r="R93" s="693"/>
      <c r="S93" s="693"/>
      <c r="T93" s="693"/>
      <c r="U93" s="693"/>
      <c r="V93" s="693"/>
      <c r="W93" s="693"/>
      <c r="X93" s="693"/>
      <c r="Y93" s="693"/>
      <c r="Z93" s="693"/>
      <c r="AA93" s="83"/>
      <c r="AB93" s="590"/>
      <c r="AC93" s="590"/>
      <c r="AD93" s="203"/>
      <c r="AE93" s="203"/>
      <c r="AF93" s="203"/>
      <c r="AG93" s="203"/>
      <c r="AH93" s="203"/>
      <c r="AI93" s="203"/>
      <c r="AJ93" s="203"/>
    </row>
    <row r="94" spans="1:36" ht="12.75" customHeight="1" x14ac:dyDescent="0.25">
      <c r="A94" s="573"/>
      <c r="B94" s="84"/>
      <c r="C94" s="85"/>
      <c r="D94" s="85"/>
      <c r="E94" s="85"/>
      <c r="F94" s="85"/>
      <c r="G94" s="85"/>
      <c r="H94" s="85"/>
      <c r="I94" s="85"/>
      <c r="J94" s="85"/>
      <c r="K94" s="85"/>
      <c r="L94" s="85"/>
      <c r="M94" s="85"/>
      <c r="N94" s="85"/>
      <c r="O94" s="85"/>
      <c r="P94" s="85"/>
      <c r="Q94" s="85"/>
      <c r="R94" s="85"/>
      <c r="S94" s="85"/>
      <c r="T94" s="85"/>
      <c r="U94" s="85"/>
      <c r="V94" s="85"/>
      <c r="W94" s="85"/>
      <c r="X94" s="85"/>
      <c r="Y94" s="85"/>
      <c r="Z94" s="85"/>
      <c r="AA94" s="86"/>
      <c r="AB94" s="590"/>
      <c r="AC94" s="590"/>
      <c r="AD94" s="203"/>
      <c r="AE94" s="203"/>
      <c r="AF94" s="203"/>
      <c r="AG94" s="203"/>
      <c r="AH94" s="203"/>
      <c r="AI94" s="203"/>
      <c r="AJ94" s="203"/>
    </row>
    <row r="95" spans="1:36" ht="12.75" customHeight="1" x14ac:dyDescent="0.25">
      <c r="A95" s="573"/>
      <c r="B95" s="82"/>
      <c r="C95" s="693"/>
      <c r="D95" s="693"/>
      <c r="E95" s="693"/>
      <c r="F95" s="693"/>
      <c r="G95" s="693"/>
      <c r="H95" s="693"/>
      <c r="I95" s="693"/>
      <c r="J95" s="693"/>
      <c r="K95" s="693"/>
      <c r="L95" s="693"/>
      <c r="M95" s="693"/>
      <c r="N95" s="693"/>
      <c r="O95" s="693"/>
      <c r="P95" s="693"/>
      <c r="Q95" s="693"/>
      <c r="R95" s="693"/>
      <c r="S95" s="693"/>
      <c r="T95" s="693"/>
      <c r="U95" s="693"/>
      <c r="V95" s="693"/>
      <c r="W95" s="693"/>
      <c r="X95" s="693"/>
      <c r="Y95" s="693"/>
      <c r="Z95" s="693"/>
      <c r="AA95" s="83"/>
      <c r="AB95" s="590"/>
      <c r="AC95" s="590"/>
      <c r="AD95" s="203"/>
      <c r="AE95" s="203"/>
      <c r="AF95" s="203"/>
      <c r="AG95" s="203"/>
      <c r="AH95" s="203"/>
      <c r="AI95" s="203"/>
      <c r="AJ95" s="203"/>
    </row>
    <row r="96" spans="1:36" ht="12.75" customHeight="1" x14ac:dyDescent="0.25">
      <c r="A96" s="573"/>
      <c r="B96" s="881" t="s">
        <v>95</v>
      </c>
      <c r="C96" s="882"/>
      <c r="D96" s="882"/>
      <c r="E96" s="882"/>
      <c r="F96" s="882"/>
      <c r="G96" s="882"/>
      <c r="H96" s="878" t="str">
        <f>IF(Obligor="Parent B",Y80,U80)</f>
        <v/>
      </c>
      <c r="I96" s="879"/>
      <c r="J96" s="1286"/>
      <c r="K96" s="737"/>
      <c r="L96" s="896" t="s">
        <v>96</v>
      </c>
      <c r="M96" s="1283"/>
      <c r="N96" s="1283"/>
      <c r="O96" s="1283"/>
      <c r="P96" s="1283"/>
      <c r="Q96" s="1283"/>
      <c r="R96" s="1283"/>
      <c r="S96" s="1289"/>
      <c r="T96" s="1290"/>
      <c r="U96" s="1290"/>
      <c r="V96" s="1291"/>
      <c r="W96" s="265"/>
      <c r="X96" s="265"/>
      <c r="Y96" s="265"/>
      <c r="Z96" s="265"/>
      <c r="AA96" s="747"/>
      <c r="AB96" s="590"/>
      <c r="AC96" s="590"/>
      <c r="AD96" s="203"/>
      <c r="AE96" s="203"/>
      <c r="AF96" s="203"/>
      <c r="AG96" s="203"/>
      <c r="AH96" s="203"/>
      <c r="AI96" s="203"/>
      <c r="AJ96" s="203"/>
    </row>
    <row r="97" spans="1:36" x14ac:dyDescent="0.25">
      <c r="A97" s="573"/>
      <c r="B97" s="619"/>
      <c r="C97" s="75" t="s">
        <v>97</v>
      </c>
      <c r="D97" s="620"/>
      <c r="E97" s="620"/>
      <c r="F97" s="620"/>
      <c r="G97" s="90" t="str">
        <f>IF(AND(ISBLANK(G98),ISBLANK(G99)),"x","")</f>
        <v>x</v>
      </c>
      <c r="H97" s="126" t="s">
        <v>98</v>
      </c>
      <c r="I97" s="103"/>
      <c r="J97" s="609"/>
      <c r="K97" s="737"/>
      <c r="L97" s="737"/>
      <c r="M97" s="737"/>
      <c r="N97" s="737"/>
      <c r="O97" s="87"/>
      <c r="P97" s="87"/>
      <c r="Q97" s="87"/>
      <c r="R97" s="87"/>
      <c r="S97" s="87"/>
      <c r="T97" s="87"/>
      <c r="U97" s="265"/>
      <c r="V97" s="265"/>
      <c r="W97" s="265"/>
      <c r="X97" s="265"/>
      <c r="Y97" s="265"/>
      <c r="Z97" s="265"/>
      <c r="AA97" s="747"/>
      <c r="AB97" s="590"/>
      <c r="AC97" s="590"/>
      <c r="AD97" s="203"/>
      <c r="AE97" s="203"/>
      <c r="AF97" s="203"/>
      <c r="AG97" s="203"/>
      <c r="AH97" s="203"/>
      <c r="AI97" s="203"/>
      <c r="AJ97" s="203"/>
    </row>
    <row r="98" spans="1:36" ht="12.75" customHeight="1" x14ac:dyDescent="0.25">
      <c r="A98" s="573"/>
      <c r="B98" s="213" t="str">
        <f>IF(F99=2,"Error-2 Checked","")</f>
        <v/>
      </c>
      <c r="C98" s="735"/>
      <c r="D98" s="265"/>
      <c r="E98" s="265"/>
      <c r="F98" s="265"/>
      <c r="G98" s="165"/>
      <c r="H98" s="127" t="s">
        <v>99</v>
      </c>
      <c r="I98" s="265"/>
      <c r="J98" s="265"/>
      <c r="K98" s="265"/>
      <c r="L98" s="265"/>
      <c r="M98" s="265"/>
      <c r="N98" s="265"/>
      <c r="O98" s="735"/>
      <c r="P98" s="87"/>
      <c r="Q98" s="87"/>
      <c r="R98" s="87"/>
      <c r="S98" s="87"/>
      <c r="T98" s="87"/>
      <c r="U98" s="265"/>
      <c r="V98" s="265"/>
      <c r="W98" s="265"/>
      <c r="X98" s="265"/>
      <c r="Y98" s="265"/>
      <c r="Z98" s="265"/>
      <c r="AA98" s="747"/>
      <c r="AB98" s="590"/>
      <c r="AC98" s="590"/>
      <c r="AD98" s="203"/>
      <c r="AE98" s="203"/>
      <c r="AF98" s="203"/>
      <c r="AG98" s="203"/>
      <c r="AH98" s="203"/>
      <c r="AI98" s="203"/>
      <c r="AJ98" s="203"/>
    </row>
    <row r="99" spans="1:36" x14ac:dyDescent="0.25">
      <c r="A99" s="573"/>
      <c r="B99" s="213"/>
      <c r="C99" s="265"/>
      <c r="D99" s="265"/>
      <c r="E99" s="265"/>
      <c r="F99" s="99">
        <f>IF(AND(ISBLANK(G98),ISBLANK(G99)),0,IF(OR(AND(NOT(ISBLANK(G98)),ISBLANK(G99)),AND(NOT(ISBLANK(G99)),ISBLANK(G98))),1,2))</f>
        <v>0</v>
      </c>
      <c r="G99" s="236"/>
      <c r="H99" s="127" t="s">
        <v>100</v>
      </c>
      <c r="I99" s="265"/>
      <c r="J99" s="265"/>
      <c r="K99" s="265"/>
      <c r="L99" s="265"/>
      <c r="M99" s="265"/>
      <c r="N99" s="748"/>
      <c r="O99" s="682"/>
      <c r="P99" s="735"/>
      <c r="Q99" s="614"/>
      <c r="R99" s="614"/>
      <c r="S99" s="614"/>
      <c r="T99" s="614"/>
      <c r="U99" s="614"/>
      <c r="V99" s="614"/>
      <c r="W99" s="614"/>
      <c r="X99" s="614"/>
      <c r="Y99" s="614"/>
      <c r="Z99" s="614"/>
      <c r="AA99" s="169"/>
      <c r="AB99" s="590"/>
      <c r="AC99" s="590"/>
      <c r="AD99" s="203"/>
      <c r="AE99" s="203"/>
      <c r="AF99" s="203"/>
      <c r="AG99" s="203"/>
      <c r="AH99" s="203"/>
      <c r="AI99" s="203"/>
      <c r="AJ99" s="203"/>
    </row>
    <row r="100" spans="1:36" ht="35.25" customHeight="1" x14ac:dyDescent="0.25">
      <c r="A100" s="573"/>
      <c r="B100" s="213"/>
      <c r="C100" s="265"/>
      <c r="D100" s="265"/>
      <c r="E100" s="265"/>
      <c r="F100" s="99"/>
      <c r="G100" s="912"/>
      <c r="H100" s="913"/>
      <c r="I100" s="913"/>
      <c r="J100" s="913"/>
      <c r="K100" s="913"/>
      <c r="L100" s="913"/>
      <c r="M100" s="913"/>
      <c r="N100" s="913"/>
      <c r="O100" s="913"/>
      <c r="P100" s="913"/>
      <c r="Q100" s="913"/>
      <c r="R100" s="913"/>
      <c r="S100" s="913"/>
      <c r="T100" s="913"/>
      <c r="U100" s="913"/>
      <c r="V100" s="913"/>
      <c r="W100" s="913"/>
      <c r="X100" s="913"/>
      <c r="Y100" s="913"/>
      <c r="Z100" s="913"/>
      <c r="AA100" s="914"/>
      <c r="AB100" s="590"/>
      <c r="AC100" s="590"/>
      <c r="AD100" s="203"/>
      <c r="AE100" s="203"/>
      <c r="AF100" s="203"/>
      <c r="AG100" s="203"/>
      <c r="AH100" s="203"/>
      <c r="AI100" s="203"/>
      <c r="AJ100" s="203"/>
    </row>
    <row r="101" spans="1:36" x14ac:dyDescent="0.25">
      <c r="A101" s="573"/>
      <c r="B101" s="881" t="s">
        <v>101</v>
      </c>
      <c r="C101" s="882"/>
      <c r="D101" s="882"/>
      <c r="E101" s="882"/>
      <c r="F101" s="882"/>
      <c r="G101" s="882"/>
      <c r="H101" s="907"/>
      <c r="I101" s="908"/>
      <c r="J101" s="909"/>
      <c r="K101" s="265"/>
      <c r="L101" s="265"/>
      <c r="M101" s="265"/>
      <c r="N101" s="265"/>
      <c r="O101" s="682"/>
      <c r="P101" s="614"/>
      <c r="Q101" s="614"/>
      <c r="R101" s="614"/>
      <c r="S101" s="614"/>
      <c r="T101" s="614"/>
      <c r="U101" s="614"/>
      <c r="V101" s="614"/>
      <c r="W101" s="614"/>
      <c r="X101" s="614"/>
      <c r="Y101" s="614"/>
      <c r="Z101" s="614"/>
      <c r="AA101" s="169"/>
      <c r="AB101" s="590"/>
      <c r="AC101" s="590"/>
      <c r="AD101" s="203"/>
      <c r="AE101" s="203"/>
      <c r="AF101" s="203"/>
      <c r="AG101" s="203"/>
      <c r="AH101" s="203"/>
      <c r="AI101" s="203"/>
      <c r="AJ101" s="203"/>
    </row>
    <row r="102" spans="1:36" ht="12.75" customHeight="1" x14ac:dyDescent="0.25">
      <c r="A102" s="573"/>
      <c r="B102" s="619" t="s">
        <v>102</v>
      </c>
      <c r="C102" s="620"/>
      <c r="D102" s="620"/>
      <c r="E102" s="620"/>
      <c r="F102" s="620"/>
      <c r="G102" s="735"/>
      <c r="H102" s="878" t="str">
        <f>IF(AND(NOT(ISNUMBER(H101)),NOT(ISNUMBER(S96))),H96,IF(AND(ISNUMBER(H101),OR(NOT(ISBLANK(G98)),NOT(ISBLANK(G99)))),H101,IF(ISNUMBER(S96),S96,"")))</f>
        <v/>
      </c>
      <c r="I102" s="879"/>
      <c r="J102" s="880"/>
      <c r="K102" s="265"/>
      <c r="L102" s="265"/>
      <c r="M102" s="265"/>
      <c r="N102" s="265"/>
      <c r="O102" s="682"/>
      <c r="P102" s="614"/>
      <c r="Q102" s="614"/>
      <c r="R102" s="614"/>
      <c r="S102" s="614"/>
      <c r="T102" s="614"/>
      <c r="U102" s="614"/>
      <c r="V102" s="614"/>
      <c r="W102" s="614"/>
      <c r="X102" s="614"/>
      <c r="Y102" s="614"/>
      <c r="Z102" s="614"/>
      <c r="AA102" s="169"/>
      <c r="AB102" s="590"/>
      <c r="AC102" s="590"/>
      <c r="AD102" s="203"/>
      <c r="AE102" s="203"/>
      <c r="AF102" s="203"/>
      <c r="AG102" s="203"/>
      <c r="AH102" s="203"/>
      <c r="AI102" s="203"/>
      <c r="AJ102" s="203"/>
    </row>
    <row r="103" spans="1:36" ht="12.75" customHeight="1" x14ac:dyDescent="0.25">
      <c r="A103" s="573"/>
      <c r="B103" s="749"/>
      <c r="C103" s="748"/>
      <c r="D103" s="748"/>
      <c r="E103" s="748"/>
      <c r="F103" s="748"/>
      <c r="G103" s="748"/>
      <c r="H103" s="748"/>
      <c r="I103" s="748"/>
      <c r="J103" s="748"/>
      <c r="K103" s="748"/>
      <c r="L103" s="748"/>
      <c r="M103" s="748"/>
      <c r="N103" s="748"/>
      <c r="O103" s="750"/>
      <c r="P103" s="697"/>
      <c r="Q103" s="697"/>
      <c r="R103" s="697"/>
      <c r="S103" s="697"/>
      <c r="T103" s="697"/>
      <c r="U103" s="697"/>
      <c r="V103" s="697"/>
      <c r="W103" s="697"/>
      <c r="X103" s="697"/>
      <c r="Y103" s="697"/>
      <c r="Z103" s="697"/>
      <c r="AA103" s="171"/>
      <c r="AB103" s="590"/>
      <c r="AC103" s="590"/>
      <c r="AD103" s="203"/>
      <c r="AE103" s="203"/>
      <c r="AF103" s="203"/>
      <c r="AG103" s="203"/>
      <c r="AH103" s="203"/>
      <c r="AI103" s="203"/>
      <c r="AJ103" s="203"/>
    </row>
    <row r="104" spans="1:36" s="172" customFormat="1" ht="25.2" customHeight="1" x14ac:dyDescent="0.25">
      <c r="A104" s="751"/>
      <c r="B104" s="910" t="s">
        <v>103</v>
      </c>
      <c r="C104" s="906"/>
      <c r="D104" s="906"/>
      <c r="E104" s="906"/>
      <c r="F104" s="906"/>
      <c r="G104" s="906"/>
      <c r="H104" s="906"/>
      <c r="I104" s="906"/>
      <c r="J104" s="906"/>
      <c r="K104" s="906"/>
      <c r="L104" s="906"/>
      <c r="M104" s="906"/>
      <c r="N104" s="906"/>
      <c r="O104" s="906"/>
      <c r="P104" s="906"/>
      <c r="Q104" s="906"/>
      <c r="R104" s="906"/>
      <c r="S104" s="906"/>
      <c r="T104" s="906"/>
      <c r="U104" s="906"/>
      <c r="V104" s="906"/>
      <c r="W104" s="906"/>
      <c r="X104" s="906"/>
      <c r="Y104" s="906"/>
      <c r="Z104" s="906"/>
      <c r="AA104" s="911"/>
      <c r="AB104" s="590"/>
      <c r="AC104" s="590"/>
      <c r="AD104" s="752"/>
      <c r="AE104" s="752"/>
      <c r="AF104" s="752"/>
      <c r="AG104" s="753"/>
      <c r="AH104" s="753"/>
      <c r="AI104" s="753"/>
      <c r="AJ104" s="753"/>
    </row>
    <row r="105" spans="1:36" ht="12.75" customHeight="1" x14ac:dyDescent="0.25">
      <c r="A105" s="573"/>
      <c r="B105" s="89"/>
      <c r="C105" s="265"/>
      <c r="D105" s="265"/>
      <c r="E105" s="265"/>
      <c r="F105" s="265"/>
      <c r="G105" s="90" t="str">
        <f>IF(ISBLANK(G106),"x","")</f>
        <v>x</v>
      </c>
      <c r="H105" s="75" t="s">
        <v>104</v>
      </c>
      <c r="I105" s="38"/>
      <c r="J105" s="38"/>
      <c r="K105" s="38"/>
      <c r="L105" s="265"/>
      <c r="M105" s="81"/>
      <c r="N105" s="81"/>
      <c r="O105" s="81"/>
      <c r="P105" s="81"/>
      <c r="Q105" s="81"/>
      <c r="R105" s="81"/>
      <c r="S105" s="75"/>
      <c r="T105" s="75"/>
      <c r="U105" s="265"/>
      <c r="V105" s="112"/>
      <c r="W105" s="112"/>
      <c r="X105" s="112"/>
      <c r="Y105" s="112"/>
      <c r="Z105" s="112"/>
      <c r="AA105" s="111"/>
      <c r="AB105" s="590"/>
      <c r="AC105" s="590"/>
      <c r="AD105" s="265"/>
      <c r="AE105" s="265"/>
      <c r="AF105" s="265"/>
      <c r="AG105" s="203"/>
      <c r="AH105" s="203"/>
      <c r="AI105" s="203"/>
      <c r="AJ105" s="203"/>
    </row>
    <row r="106" spans="1:36" ht="12.75" customHeight="1" x14ac:dyDescent="0.25">
      <c r="A106" s="573"/>
      <c r="B106" s="102"/>
      <c r="C106" s="265"/>
      <c r="D106" s="265"/>
      <c r="E106" s="265"/>
      <c r="F106" s="265"/>
      <c r="G106" s="165"/>
      <c r="H106" s="75" t="s">
        <v>105</v>
      </c>
      <c r="I106" s="265"/>
      <c r="J106" s="265"/>
      <c r="K106" s="265"/>
      <c r="L106" s="265"/>
      <c r="M106" s="735"/>
      <c r="N106" s="735"/>
      <c r="O106" s="735"/>
      <c r="P106" s="735"/>
      <c r="Q106" s="890"/>
      <c r="R106" s="891"/>
      <c r="S106" s="891"/>
      <c r="T106" s="892"/>
      <c r="U106" s="155"/>
      <c r="V106" s="155"/>
      <c r="W106" s="155"/>
      <c r="X106" s="155"/>
      <c r="Y106" s="155"/>
      <c r="Z106" s="155"/>
      <c r="AA106" s="209"/>
      <c r="AB106" s="590"/>
      <c r="AC106" s="590"/>
      <c r="AD106" s="203"/>
      <c r="AE106" s="203"/>
      <c r="AF106" s="203"/>
      <c r="AG106" s="203"/>
      <c r="AH106" s="203"/>
      <c r="AI106" s="203"/>
      <c r="AJ106" s="203"/>
    </row>
    <row r="107" spans="1:36" ht="12.75" customHeight="1" x14ac:dyDescent="0.25">
      <c r="A107" s="573"/>
      <c r="B107" s="89"/>
      <c r="C107" s="265"/>
      <c r="D107" s="265"/>
      <c r="E107" s="265"/>
      <c r="F107" s="265"/>
      <c r="G107" s="646"/>
      <c r="H107" s="887" t="s">
        <v>106</v>
      </c>
      <c r="I107" s="888"/>
      <c r="J107" s="888"/>
      <c r="K107" s="888"/>
      <c r="L107" s="889"/>
      <c r="M107" s="923"/>
      <c r="N107" s="924"/>
      <c r="O107" s="924"/>
      <c r="P107" s="924"/>
      <c r="Q107" s="924"/>
      <c r="R107" s="925"/>
      <c r="S107" s="1277" t="s">
        <v>107</v>
      </c>
      <c r="T107" s="1278"/>
      <c r="U107" s="1279"/>
      <c r="V107" s="900"/>
      <c r="W107" s="901"/>
      <c r="X107" s="901"/>
      <c r="Y107" s="901"/>
      <c r="Z107" s="901"/>
      <c r="AA107" s="902"/>
      <c r="AB107" s="590"/>
      <c r="AC107" s="590"/>
      <c r="AD107" s="203"/>
      <c r="AE107" s="203"/>
      <c r="AF107" s="203"/>
      <c r="AG107" s="203"/>
      <c r="AH107" s="203"/>
      <c r="AI107" s="203"/>
      <c r="AJ107" s="203"/>
    </row>
    <row r="108" spans="1:36" ht="12.75" customHeight="1" x14ac:dyDescent="0.25">
      <c r="A108" s="573"/>
      <c r="B108" s="89"/>
      <c r="C108" s="265"/>
      <c r="D108" s="265"/>
      <c r="E108" s="265"/>
      <c r="F108" s="265"/>
      <c r="G108" s="646"/>
      <c r="H108" s="887" t="s">
        <v>108</v>
      </c>
      <c r="I108" s="888"/>
      <c r="J108" s="888"/>
      <c r="K108" s="888"/>
      <c r="L108" s="889"/>
      <c r="M108" s="890"/>
      <c r="N108" s="891"/>
      <c r="O108" s="891"/>
      <c r="P108" s="892"/>
      <c r="Q108" s="875" t="s">
        <v>109</v>
      </c>
      <c r="R108" s="876"/>
      <c r="S108" s="876"/>
      <c r="T108" s="877"/>
      <c r="U108" s="900"/>
      <c r="V108" s="901"/>
      <c r="W108" s="901"/>
      <c r="X108" s="901"/>
      <c r="Y108" s="901"/>
      <c r="Z108" s="902"/>
      <c r="AA108" s="199"/>
      <c r="AB108" s="590"/>
      <c r="AC108" s="590"/>
      <c r="AD108" s="203"/>
      <c r="AE108" s="203"/>
      <c r="AF108" s="203"/>
      <c r="AG108" s="203"/>
      <c r="AH108" s="203"/>
      <c r="AI108" s="203"/>
      <c r="AJ108" s="203"/>
    </row>
    <row r="109" spans="1:36" ht="12.75" customHeight="1" x14ac:dyDescent="0.25">
      <c r="A109" s="573"/>
      <c r="B109" s="164"/>
      <c r="C109" s="748"/>
      <c r="D109" s="748"/>
      <c r="E109" s="748"/>
      <c r="F109" s="748"/>
      <c r="G109" s="219"/>
      <c r="H109" s="110"/>
      <c r="I109" s="192"/>
      <c r="J109" s="192"/>
      <c r="K109" s="192"/>
      <c r="L109" s="748"/>
      <c r="M109" s="196"/>
      <c r="N109" s="196"/>
      <c r="O109" s="196"/>
      <c r="P109" s="196"/>
      <c r="Q109" s="196"/>
      <c r="R109" s="196"/>
      <c r="S109" s="219"/>
      <c r="T109" s="107"/>
      <c r="U109" s="107"/>
      <c r="V109" s="197"/>
      <c r="W109" s="197"/>
      <c r="X109" s="197"/>
      <c r="Y109" s="197"/>
      <c r="Z109" s="197"/>
      <c r="AA109" s="198"/>
      <c r="AB109" s="590"/>
      <c r="AC109" s="590"/>
      <c r="AD109" s="203"/>
      <c r="AE109" s="203"/>
      <c r="AF109" s="203"/>
      <c r="AG109" s="203"/>
      <c r="AH109" s="203"/>
      <c r="AI109" s="203"/>
      <c r="AJ109" s="203"/>
    </row>
    <row r="110" spans="1:36" s="172" customFormat="1" ht="25.2" customHeight="1" x14ac:dyDescent="0.25">
      <c r="A110" s="751"/>
      <c r="B110" s="905" t="s">
        <v>110</v>
      </c>
      <c r="C110" s="906"/>
      <c r="D110" s="906"/>
      <c r="E110" s="906"/>
      <c r="F110" s="906"/>
      <c r="G110" s="906"/>
      <c r="H110" s="906"/>
      <c r="I110" s="906"/>
      <c r="J110" s="906"/>
      <c r="K110" s="906"/>
      <c r="L110" s="906"/>
      <c r="M110" s="906"/>
      <c r="N110" s="906"/>
      <c r="O110" s="906"/>
      <c r="P110" s="906"/>
      <c r="Q110" s="906"/>
      <c r="R110" s="906"/>
      <c r="S110" s="754"/>
      <c r="T110" s="1225" t="str">
        <f>IF(AND(NOT(ISBLANK(T112)),NOT(ISBLANK(W112))),"Can't Enter Against Both","")</f>
        <v/>
      </c>
      <c r="U110" s="873"/>
      <c r="V110" s="873"/>
      <c r="W110" s="873"/>
      <c r="X110" s="873"/>
      <c r="Y110" s="873"/>
      <c r="Z110" s="873"/>
      <c r="AA110" s="755"/>
      <c r="AB110" s="590"/>
      <c r="AC110" s="590"/>
      <c r="AD110" s="753"/>
      <c r="AE110" s="753"/>
      <c r="AF110" s="753"/>
      <c r="AG110" s="753"/>
      <c r="AH110" s="753"/>
      <c r="AI110" s="753"/>
      <c r="AJ110" s="753"/>
    </row>
    <row r="111" spans="1:36" x14ac:dyDescent="0.25">
      <c r="A111" s="573"/>
      <c r="B111" s="167"/>
      <c r="C111" s="155"/>
      <c r="D111" s="155"/>
      <c r="E111" s="155"/>
      <c r="F111" s="155"/>
      <c r="G111" s="168" t="str">
        <f>IF(ISBLANK(G112),"x","")</f>
        <v>x</v>
      </c>
      <c r="H111" s="166" t="s">
        <v>111</v>
      </c>
      <c r="I111" s="155"/>
      <c r="J111" s="155"/>
      <c r="K111" s="155"/>
      <c r="L111" s="155"/>
      <c r="M111" s="155"/>
      <c r="N111" s="155"/>
      <c r="O111" s="155"/>
      <c r="P111" s="155"/>
      <c r="Q111" s="155"/>
      <c r="R111" s="155"/>
      <c r="S111" s="155"/>
      <c r="T111" s="873"/>
      <c r="U111" s="873"/>
      <c r="V111" s="873"/>
      <c r="W111" s="873"/>
      <c r="X111" s="873"/>
      <c r="Y111" s="873"/>
      <c r="Z111" s="873"/>
      <c r="AA111" s="209"/>
      <c r="AB111" s="590"/>
      <c r="AC111" s="590"/>
      <c r="AD111" s="203"/>
      <c r="AE111" s="203"/>
      <c r="AF111" s="203"/>
      <c r="AG111" s="203"/>
      <c r="AH111" s="203"/>
      <c r="AI111" s="203"/>
      <c r="AJ111" s="203"/>
    </row>
    <row r="112" spans="1:36" x14ac:dyDescent="0.25">
      <c r="A112" s="573"/>
      <c r="B112" s="167"/>
      <c r="C112" s="155"/>
      <c r="D112" s="155"/>
      <c r="E112" s="155"/>
      <c r="F112" s="155"/>
      <c r="G112" s="165"/>
      <c r="H112" s="75" t="s">
        <v>112</v>
      </c>
      <c r="I112" s="155"/>
      <c r="J112" s="155"/>
      <c r="K112" s="155"/>
      <c r="L112" s="155"/>
      <c r="M112" s="890"/>
      <c r="N112" s="891"/>
      <c r="O112" s="891"/>
      <c r="P112" s="892"/>
      <c r="Q112" s="991" t="str">
        <f>" Against " &amp; Obligor &amp; " for past support including:"</f>
        <v xml:space="preserve"> Against the obligor for past support including:</v>
      </c>
      <c r="R112" s="992"/>
      <c r="S112" s="992"/>
      <c r="T112" s="992"/>
      <c r="U112" s="992"/>
      <c r="V112" s="992"/>
      <c r="W112" s="992"/>
      <c r="X112" s="992"/>
      <c r="Y112" s="992"/>
      <c r="Z112" s="992"/>
      <c r="AA112" s="993"/>
      <c r="AB112" s="590"/>
      <c r="AC112" s="590"/>
      <c r="AD112" s="203"/>
      <c r="AE112" s="203"/>
      <c r="AF112" s="203"/>
      <c r="AG112" s="203"/>
      <c r="AH112" s="203"/>
      <c r="AI112" s="203"/>
      <c r="AJ112" s="203"/>
    </row>
    <row r="113" spans="1:36" x14ac:dyDescent="0.25">
      <c r="A113" s="573"/>
      <c r="B113" s="167"/>
      <c r="C113" s="637"/>
      <c r="D113" s="221"/>
      <c r="E113" s="221"/>
      <c r="F113" s="221"/>
      <c r="G113" s="177"/>
      <c r="H113" s="176"/>
      <c r="I113" s="621" t="s">
        <v>113</v>
      </c>
      <c r="J113" s="614"/>
      <c r="K113" s="614"/>
      <c r="L113" s="614"/>
      <c r="M113" s="614"/>
      <c r="N113" s="614"/>
      <c r="O113" s="614"/>
      <c r="P113" s="614"/>
      <c r="Q113" s="614"/>
      <c r="R113" s="614"/>
      <c r="S113" s="614"/>
      <c r="T113" s="614"/>
      <c r="U113" s="614"/>
      <c r="V113" s="614"/>
      <c r="W113" s="614"/>
      <c r="X113" s="614"/>
      <c r="Y113" s="614"/>
      <c r="Z113" s="614"/>
      <c r="AA113" s="169"/>
      <c r="AB113" s="590"/>
      <c r="AC113" s="590"/>
      <c r="AD113" s="203"/>
      <c r="AE113" s="203"/>
      <c r="AF113" s="203"/>
      <c r="AG113" s="203"/>
      <c r="AH113" s="203"/>
      <c r="AI113" s="203"/>
      <c r="AJ113" s="203"/>
    </row>
    <row r="114" spans="1:36" x14ac:dyDescent="0.25">
      <c r="A114" s="573"/>
      <c r="B114" s="167"/>
      <c r="C114" s="221"/>
      <c r="D114" s="221"/>
      <c r="E114" s="221"/>
      <c r="F114" s="221"/>
      <c r="G114" s="177"/>
      <c r="H114" s="176"/>
      <c r="I114" s="621" t="s">
        <v>114</v>
      </c>
      <c r="J114" s="614"/>
      <c r="K114" s="614"/>
      <c r="L114" s="614"/>
      <c r="M114" s="614"/>
      <c r="N114" s="614"/>
      <c r="O114" s="614"/>
      <c r="P114" s="614"/>
      <c r="Q114" s="614"/>
      <c r="R114" s="614"/>
      <c r="S114" s="614"/>
      <c r="T114" s="614"/>
      <c r="U114" s="614"/>
      <c r="V114" s="614"/>
      <c r="W114" s="614"/>
      <c r="X114" s="614"/>
      <c r="Y114" s="614"/>
      <c r="Z114" s="614"/>
      <c r="AA114" s="169"/>
      <c r="AB114" s="590"/>
      <c r="AC114" s="590"/>
      <c r="AD114" s="203"/>
      <c r="AE114" s="203"/>
      <c r="AF114" s="203"/>
      <c r="AG114" s="203"/>
      <c r="AH114" s="203"/>
      <c r="AI114" s="203"/>
      <c r="AJ114" s="203"/>
    </row>
    <row r="115" spans="1:36" ht="12.75" customHeight="1" x14ac:dyDescent="0.25">
      <c r="A115" s="573"/>
      <c r="B115" s="997"/>
      <c r="C115" s="863"/>
      <c r="D115" s="863"/>
      <c r="E115" s="863"/>
      <c r="F115" s="863"/>
      <c r="G115" s="863"/>
      <c r="H115" s="863"/>
      <c r="I115" s="863"/>
      <c r="J115" s="863"/>
      <c r="K115" s="863"/>
      <c r="L115" s="863"/>
      <c r="M115" s="863"/>
      <c r="N115" s="863"/>
      <c r="O115" s="863"/>
      <c r="P115" s="863"/>
      <c r="Q115" s="863"/>
      <c r="R115" s="863"/>
      <c r="S115" s="863"/>
      <c r="T115" s="863"/>
      <c r="U115" s="863"/>
      <c r="V115" s="863"/>
      <c r="W115" s="863"/>
      <c r="X115" s="863"/>
      <c r="Y115" s="863"/>
      <c r="Z115" s="863"/>
      <c r="AA115" s="998"/>
      <c r="AB115" s="590"/>
      <c r="AC115" s="590"/>
      <c r="AD115" s="203"/>
      <c r="AE115" s="203"/>
      <c r="AF115" s="203"/>
      <c r="AG115" s="203"/>
      <c r="AH115" s="203"/>
      <c r="AI115" s="203"/>
      <c r="AJ115" s="203"/>
    </row>
    <row r="116" spans="1:36" s="172" customFormat="1" ht="17.25" customHeight="1" x14ac:dyDescent="0.25">
      <c r="A116" s="751"/>
      <c r="B116" s="1001" t="s">
        <v>115</v>
      </c>
      <c r="C116" s="1002"/>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2"/>
      <c r="AA116" s="1003"/>
      <c r="AB116" s="590"/>
      <c r="AC116" s="590"/>
      <c r="AD116" s="753"/>
      <c r="AE116" s="753"/>
      <c r="AF116" s="753"/>
      <c r="AG116" s="753"/>
      <c r="AH116" s="753"/>
      <c r="AI116" s="753"/>
      <c r="AJ116" s="753"/>
    </row>
    <row r="117" spans="1:36" s="172" customFormat="1" ht="18.75" customHeight="1" x14ac:dyDescent="0.25">
      <c r="A117" s="751"/>
      <c r="B117" s="893" t="s">
        <v>116</v>
      </c>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894"/>
      <c r="Z117" s="894"/>
      <c r="AA117" s="895"/>
      <c r="AB117" s="590"/>
      <c r="AC117" s="590"/>
      <c r="AD117" s="753"/>
      <c r="AE117" s="753"/>
      <c r="AF117" s="753"/>
      <c r="AG117" s="753"/>
      <c r="AH117" s="753"/>
      <c r="AI117" s="753"/>
      <c r="AJ117" s="753"/>
    </row>
    <row r="118" spans="1:36" ht="12.75" customHeight="1" x14ac:dyDescent="0.25">
      <c r="A118" s="573"/>
      <c r="B118" s="189"/>
      <c r="C118" s="222"/>
      <c r="D118" s="222"/>
      <c r="E118" s="222"/>
      <c r="F118" s="222"/>
      <c r="G118" s="90" t="str">
        <f>IF(ISBLANK(G119),"x","")</f>
        <v>x</v>
      </c>
      <c r="H118" s="75" t="s">
        <v>117</v>
      </c>
      <c r="I118" s="265"/>
      <c r="J118" s="265"/>
      <c r="K118" s="265"/>
      <c r="L118" s="265"/>
      <c r="M118" s="265"/>
      <c r="N118" s="265"/>
      <c r="O118" s="265"/>
      <c r="P118" s="265"/>
      <c r="Q118" s="265"/>
      <c r="R118" s="265"/>
      <c r="S118" s="265"/>
      <c r="T118" s="265"/>
      <c r="U118" s="265"/>
      <c r="V118" s="265"/>
      <c r="W118" s="265"/>
      <c r="X118" s="265"/>
      <c r="Y118" s="265"/>
      <c r="Z118" s="265"/>
      <c r="AA118" s="747"/>
      <c r="AB118" s="590"/>
      <c r="AC118" s="590"/>
      <c r="AD118" s="203"/>
      <c r="AE118" s="203"/>
      <c r="AF118" s="203"/>
      <c r="AG118" s="203"/>
      <c r="AH118" s="203"/>
      <c r="AI118" s="203"/>
      <c r="AJ118" s="203"/>
    </row>
    <row r="119" spans="1:36" ht="12.75" customHeight="1" x14ac:dyDescent="0.25">
      <c r="A119" s="573"/>
      <c r="B119" s="190"/>
      <c r="C119" s="222"/>
      <c r="D119" s="222"/>
      <c r="E119" s="222"/>
      <c r="F119" s="222"/>
      <c r="G119" s="165"/>
      <c r="H119" s="75" t="s">
        <v>118</v>
      </c>
      <c r="I119" s="265"/>
      <c r="J119" s="265"/>
      <c r="K119" s="265"/>
      <c r="L119" s="735"/>
      <c r="M119" s="994"/>
      <c r="N119" s="995"/>
      <c r="O119" s="995"/>
      <c r="P119" s="996"/>
      <c r="Q119" s="897" t="s">
        <v>119</v>
      </c>
      <c r="R119" s="873"/>
      <c r="S119" s="873"/>
      <c r="T119" s="90" t="str">
        <f>IF(AND(NOT(ISBLANK(G119)),ISBLANK(X119)),"x","")</f>
        <v/>
      </c>
      <c r="U119" s="605" t="s">
        <v>49</v>
      </c>
      <c r="V119" s="737"/>
      <c r="W119" s="206"/>
      <c r="X119" s="88"/>
      <c r="Y119" s="605" t="s">
        <v>50</v>
      </c>
      <c r="Z119" s="265"/>
      <c r="AA119" s="747"/>
      <c r="AB119" s="590"/>
      <c r="AC119" s="590"/>
      <c r="AD119" s="203"/>
      <c r="AE119" s="203"/>
      <c r="AF119" s="203"/>
      <c r="AG119" s="203"/>
      <c r="AH119" s="203"/>
      <c r="AI119" s="203"/>
      <c r="AJ119" s="203"/>
    </row>
    <row r="120" spans="1:36" ht="12.75" customHeight="1" x14ac:dyDescent="0.25">
      <c r="A120" s="573"/>
      <c r="B120" s="190"/>
      <c r="C120" s="222"/>
      <c r="D120" s="222"/>
      <c r="E120" s="222"/>
      <c r="F120" s="222"/>
      <c r="G120" s="627"/>
      <c r="H120" s="885" t="str">
        <f>IF(T119="x","Payable directly to Parent B in monthly payments of:",IF(NOT(ISBLANK(X119)),"Payable directly to Parent A in monthly payments of:",""))</f>
        <v/>
      </c>
      <c r="I120" s="886"/>
      <c r="J120" s="886"/>
      <c r="K120" s="886"/>
      <c r="L120" s="886"/>
      <c r="M120" s="886"/>
      <c r="N120" s="886"/>
      <c r="O120" s="886"/>
      <c r="P120" s="886"/>
      <c r="Q120" s="886"/>
      <c r="R120" s="886"/>
      <c r="S120" s="886"/>
      <c r="T120" s="903"/>
      <c r="U120" s="904"/>
      <c r="V120" s="904"/>
      <c r="W120" s="904"/>
      <c r="X120" s="885" t="str">
        <f>IF(NOT(ISBLANK(G119))," per month.","")</f>
        <v/>
      </c>
      <c r="Y120" s="865"/>
      <c r="Z120" s="865"/>
      <c r="AA120" s="874"/>
      <c r="AB120" s="590"/>
      <c r="AC120" s="590"/>
      <c r="AD120" s="203"/>
      <c r="AE120" s="203"/>
      <c r="AF120" s="203"/>
      <c r="AG120" s="203"/>
      <c r="AH120" s="203"/>
      <c r="AI120" s="203"/>
      <c r="AJ120" s="203"/>
    </row>
    <row r="121" spans="1:36" ht="12.75" customHeight="1" x14ac:dyDescent="0.25">
      <c r="A121" s="573"/>
      <c r="B121" s="190"/>
      <c r="C121" s="222"/>
      <c r="D121" s="222"/>
      <c r="E121" s="222"/>
      <c r="F121" s="222"/>
      <c r="G121" s="265"/>
      <c r="H121" s="896" t="str">
        <f>IF(NOT(ISBLANK(G119)),"Note:  Paternity Expense Judgments will not be included in an Order of Assignment.","")</f>
        <v/>
      </c>
      <c r="I121" s="865"/>
      <c r="J121" s="865"/>
      <c r="K121" s="865"/>
      <c r="L121" s="865"/>
      <c r="M121" s="865"/>
      <c r="N121" s="865"/>
      <c r="O121" s="865"/>
      <c r="P121" s="865"/>
      <c r="Q121" s="865"/>
      <c r="R121" s="865"/>
      <c r="S121" s="865"/>
      <c r="T121" s="865"/>
      <c r="U121" s="865"/>
      <c r="V121" s="865"/>
      <c r="W121" s="865"/>
      <c r="X121" s="865"/>
      <c r="Y121" s="865"/>
      <c r="Z121" s="865"/>
      <c r="AA121" s="874"/>
      <c r="AB121" s="590"/>
      <c r="AC121" s="590"/>
      <c r="AD121" s="203"/>
      <c r="AE121" s="203"/>
      <c r="AF121" s="203"/>
      <c r="AG121" s="203"/>
      <c r="AH121" s="203"/>
      <c r="AI121" s="203"/>
      <c r="AJ121" s="203"/>
    </row>
    <row r="122" spans="1:36" ht="12.75" customHeight="1" x14ac:dyDescent="0.25">
      <c r="A122" s="573"/>
      <c r="B122" s="749"/>
      <c r="C122" s="748"/>
      <c r="D122" s="748"/>
      <c r="E122" s="748"/>
      <c r="F122" s="748"/>
      <c r="G122" s="748"/>
      <c r="H122" s="91"/>
      <c r="I122" s="748"/>
      <c r="J122" s="748"/>
      <c r="K122" s="748"/>
      <c r="L122" s="756"/>
      <c r="M122" s="756"/>
      <c r="N122" s="756"/>
      <c r="O122" s="756"/>
      <c r="P122" s="748"/>
      <c r="Q122" s="748"/>
      <c r="R122" s="748"/>
      <c r="S122" s="748"/>
      <c r="T122" s="748"/>
      <c r="U122" s="748"/>
      <c r="V122" s="748"/>
      <c r="W122" s="748"/>
      <c r="X122" s="748"/>
      <c r="Y122" s="748"/>
      <c r="Z122" s="748"/>
      <c r="AA122" s="757"/>
      <c r="AB122" s="590"/>
      <c r="AC122" s="590"/>
      <c r="AD122" s="203"/>
      <c r="AE122" s="203"/>
      <c r="AF122" s="203"/>
      <c r="AG122" s="203"/>
      <c r="AH122" s="203"/>
      <c r="AI122" s="203"/>
      <c r="AJ122" s="203"/>
    </row>
    <row r="123" spans="1:36" ht="25.2" customHeight="1" x14ac:dyDescent="0.25">
      <c r="A123" s="573"/>
      <c r="B123" s="213"/>
      <c r="C123" s="265"/>
      <c r="D123" s="265"/>
      <c r="E123" s="265"/>
      <c r="F123" s="265"/>
      <c r="G123" s="1048"/>
      <c r="H123" s="873"/>
      <c r="I123" s="873"/>
      <c r="J123" s="873"/>
      <c r="K123" s="873"/>
      <c r="L123" s="873"/>
      <c r="M123" s="873"/>
      <c r="N123" s="870" t="s">
        <v>120</v>
      </c>
      <c r="O123" s="870"/>
      <c r="P123" s="870"/>
      <c r="Q123" s="870"/>
      <c r="R123" s="870" t="s">
        <v>121</v>
      </c>
      <c r="S123" s="870"/>
      <c r="T123" s="870"/>
      <c r="U123" s="870"/>
      <c r="V123" s="52"/>
      <c r="W123" s="52"/>
      <c r="X123" s="265"/>
      <c r="Y123" s="265"/>
      <c r="Z123" s="265"/>
      <c r="AA123" s="747"/>
      <c r="AB123" s="590"/>
      <c r="AC123" s="590"/>
      <c r="AD123" s="203"/>
      <c r="AE123" s="203"/>
      <c r="AF123" s="203"/>
      <c r="AG123" s="203"/>
      <c r="AH123" s="203"/>
      <c r="AI123" s="203"/>
      <c r="AJ123" s="203"/>
    </row>
    <row r="124" spans="1:36" x14ac:dyDescent="0.25">
      <c r="A124" s="573"/>
      <c r="B124" s="92" t="s">
        <v>122</v>
      </c>
      <c r="C124" s="265"/>
      <c r="D124" s="265"/>
      <c r="E124" s="265"/>
      <c r="F124" s="265"/>
      <c r="G124" s="871" t="s">
        <v>123</v>
      </c>
      <c r="H124" s="872"/>
      <c r="I124" s="872"/>
      <c r="J124" s="872"/>
      <c r="K124" s="872"/>
      <c r="L124" s="873"/>
      <c r="M124" s="874"/>
      <c r="N124" s="1219"/>
      <c r="O124" s="1219"/>
      <c r="P124" s="1219"/>
      <c r="Q124" s="1219"/>
      <c r="R124" s="999" t="str">
        <f>IF(ISNUMBER(H102),H102,"")</f>
        <v/>
      </c>
      <c r="S124" s="999"/>
      <c r="T124" s="999"/>
      <c r="U124" s="999"/>
      <c r="V124" s="52"/>
      <c r="W124" s="52"/>
      <c r="X124" s="265"/>
      <c r="Y124" s="265"/>
      <c r="Z124" s="265"/>
      <c r="AA124" s="747"/>
      <c r="AB124" s="590"/>
      <c r="AC124" s="590"/>
      <c r="AD124" s="203"/>
      <c r="AE124" s="203"/>
      <c r="AF124" s="203"/>
      <c r="AG124" s="203"/>
      <c r="AH124" s="203"/>
      <c r="AI124" s="203"/>
      <c r="AJ124" s="203"/>
    </row>
    <row r="125" spans="1:36" x14ac:dyDescent="0.25">
      <c r="A125" s="573"/>
      <c r="B125" s="213"/>
      <c r="C125" s="265"/>
      <c r="D125" s="265"/>
      <c r="E125" s="265"/>
      <c r="F125" s="265"/>
      <c r="G125" s="871" t="s">
        <v>124</v>
      </c>
      <c r="H125" s="872"/>
      <c r="I125" s="872"/>
      <c r="J125" s="872"/>
      <c r="K125" s="872"/>
      <c r="L125" s="873"/>
      <c r="M125" s="874"/>
      <c r="N125" s="999" t="str">
        <f>IF(ISNUMBER(Q106),Q106,"")</f>
        <v/>
      </c>
      <c r="O125" s="1000"/>
      <c r="P125" s="1000"/>
      <c r="Q125" s="1000"/>
      <c r="R125" s="1229"/>
      <c r="S125" s="1229"/>
      <c r="T125" s="1229"/>
      <c r="U125" s="1229"/>
      <c r="V125" s="52"/>
      <c r="W125" s="52"/>
      <c r="X125" s="265"/>
      <c r="Y125" s="265"/>
      <c r="Z125" s="265"/>
      <c r="AA125" s="747"/>
      <c r="AB125" s="590"/>
      <c r="AC125" s="590"/>
      <c r="AD125" s="203"/>
      <c r="AE125" s="203"/>
      <c r="AF125" s="203"/>
      <c r="AG125" s="203"/>
      <c r="AH125" s="203"/>
      <c r="AI125" s="203"/>
      <c r="AJ125" s="203"/>
    </row>
    <row r="126" spans="1:36" x14ac:dyDescent="0.25">
      <c r="A126" s="573"/>
      <c r="B126" s="213"/>
      <c r="C126" s="265"/>
      <c r="D126" s="265"/>
      <c r="E126" s="265"/>
      <c r="F126" s="265"/>
      <c r="G126" s="1244" t="s">
        <v>125</v>
      </c>
      <c r="H126" s="872"/>
      <c r="I126" s="872"/>
      <c r="J126" s="872"/>
      <c r="K126" s="872"/>
      <c r="L126" s="873"/>
      <c r="M126" s="874"/>
      <c r="N126" s="999" t="str">
        <f>IF(ISNUMBER(M112),M112,"")</f>
        <v/>
      </c>
      <c r="O126" s="1000"/>
      <c r="P126" s="1000"/>
      <c r="Q126" s="1000"/>
      <c r="R126" s="1229"/>
      <c r="S126" s="1229"/>
      <c r="T126" s="1229"/>
      <c r="U126" s="1229"/>
      <c r="V126" s="52"/>
      <c r="W126" s="52"/>
      <c r="X126" s="265"/>
      <c r="Y126" s="265"/>
      <c r="Z126" s="265"/>
      <c r="AA126" s="747"/>
      <c r="AB126" s="590"/>
      <c r="AC126" s="590"/>
      <c r="AD126" s="203"/>
      <c r="AE126" s="203"/>
      <c r="AF126" s="203"/>
      <c r="AG126" s="203"/>
      <c r="AH126" s="203"/>
      <c r="AI126" s="203"/>
      <c r="AJ126" s="203"/>
    </row>
    <row r="127" spans="1:36" x14ac:dyDescent="0.25">
      <c r="A127" s="573"/>
      <c r="B127" s="213"/>
      <c r="C127" s="265"/>
      <c r="D127" s="265"/>
      <c r="E127" s="265"/>
      <c r="F127" s="265"/>
      <c r="G127" s="871" t="s">
        <v>126</v>
      </c>
      <c r="H127" s="872"/>
      <c r="I127" s="872"/>
      <c r="J127" s="872"/>
      <c r="K127" s="872"/>
      <c r="L127" s="873"/>
      <c r="M127" s="874"/>
      <c r="N127" s="999" t="str">
        <f>IF(ISNUMBER(M119),M119,"")</f>
        <v/>
      </c>
      <c r="O127" s="1000"/>
      <c r="P127" s="1000"/>
      <c r="Q127" s="1000"/>
      <c r="R127" s="1228" t="str">
        <f>IF(ISNUMBER(T120),T120,"")</f>
        <v/>
      </c>
      <c r="S127" s="1228"/>
      <c r="T127" s="1228"/>
      <c r="U127" s="1228"/>
      <c r="V127" s="52"/>
      <c r="W127" s="52"/>
      <c r="X127" s="265"/>
      <c r="Y127" s="265"/>
      <c r="Z127" s="265"/>
      <c r="AA127" s="747"/>
      <c r="AB127" s="590"/>
      <c r="AC127" s="590"/>
      <c r="AD127" s="203"/>
      <c r="AE127" s="203"/>
      <c r="AF127" s="203"/>
      <c r="AG127" s="203"/>
      <c r="AH127" s="203"/>
      <c r="AI127" s="203"/>
      <c r="AJ127" s="203"/>
    </row>
    <row r="128" spans="1:36" x14ac:dyDescent="0.25">
      <c r="A128" s="573"/>
      <c r="B128" s="213"/>
      <c r="C128" s="265"/>
      <c r="D128" s="265"/>
      <c r="E128" s="265"/>
      <c r="F128" s="265"/>
      <c r="G128" s="871" t="s">
        <v>127</v>
      </c>
      <c r="H128" s="872"/>
      <c r="I128" s="872"/>
      <c r="J128" s="872"/>
      <c r="K128" s="872"/>
      <c r="L128" s="874"/>
      <c r="M128" s="873"/>
      <c r="N128" s="1240"/>
      <c r="O128" s="1241"/>
      <c r="P128" s="1241"/>
      <c r="Q128" s="1241"/>
      <c r="R128" s="1230" t="str">
        <f>IF(ISNUMBER(N128),N128,IF(AND(Obligor="Parent A",U54&lt;0,Y54&gt;0),ABS(MIN(ABS(U54),ABS(Y54))),IF(AND(Obligor="Parent B",Y54&lt;0,U54&gt;0),ABS(MIN(ABS(U54),ABS(Y54))),"")))</f>
        <v/>
      </c>
      <c r="S128" s="1230"/>
      <c r="T128" s="1230"/>
      <c r="U128" s="1230"/>
      <c r="V128" s="265"/>
      <c r="W128" s="265"/>
      <c r="X128" s="265"/>
      <c r="Y128" s="265"/>
      <c r="Z128" s="265"/>
      <c r="AA128" s="747"/>
      <c r="AB128" s="590"/>
      <c r="AC128" s="590"/>
      <c r="AD128" s="203"/>
      <c r="AE128" s="203"/>
      <c r="AF128" s="203"/>
      <c r="AG128" s="203"/>
      <c r="AH128" s="203"/>
      <c r="AI128" s="203"/>
      <c r="AJ128" s="203"/>
    </row>
    <row r="129" spans="1:36" x14ac:dyDescent="0.25">
      <c r="A129" s="573"/>
      <c r="B129" s="213"/>
      <c r="C129" s="265"/>
      <c r="D129" s="265"/>
      <c r="E129" s="265"/>
      <c r="F129" s="265"/>
      <c r="G129" s="871" t="s">
        <v>128</v>
      </c>
      <c r="H129" s="872"/>
      <c r="I129" s="872"/>
      <c r="J129" s="872"/>
      <c r="K129" s="872"/>
      <c r="L129" s="874"/>
      <c r="M129" s="873"/>
      <c r="N129" s="1238" t="str">
        <f>IF(ISNUMBER(#REF!),#REF!,"")</f>
        <v/>
      </c>
      <c r="O129" s="1239"/>
      <c r="P129" s="1239"/>
      <c r="Q129" s="1239"/>
      <c r="R129" s="1231"/>
      <c r="S129" s="1231"/>
      <c r="T129" s="1231"/>
      <c r="U129" s="1231"/>
      <c r="V129" s="52"/>
      <c r="W129" s="52"/>
      <c r="X129" s="265"/>
      <c r="Y129" s="265"/>
      <c r="Z129" s="265"/>
      <c r="AA129" s="747"/>
      <c r="AB129" s="590"/>
      <c r="AC129" s="590"/>
      <c r="AD129" s="203"/>
      <c r="AE129" s="203"/>
      <c r="AF129" s="203"/>
      <c r="AG129" s="203"/>
      <c r="AH129" s="203"/>
      <c r="AI129" s="203"/>
      <c r="AJ129" s="203"/>
    </row>
    <row r="130" spans="1:36" x14ac:dyDescent="0.25">
      <c r="A130" s="573"/>
      <c r="B130" s="213"/>
      <c r="C130" s="265"/>
      <c r="D130" s="265"/>
      <c r="E130" s="265"/>
      <c r="F130" s="265"/>
      <c r="G130" s="871" t="s">
        <v>129</v>
      </c>
      <c r="H130" s="886"/>
      <c r="I130" s="886"/>
      <c r="J130" s="886"/>
      <c r="K130" s="886"/>
      <c r="L130" s="886"/>
      <c r="M130" s="886"/>
      <c r="N130" s="886"/>
      <c r="O130" s="886"/>
      <c r="P130" s="886"/>
      <c r="Q130" s="877"/>
      <c r="R130" s="1235">
        <f>H258+S262</f>
        <v>0</v>
      </c>
      <c r="S130" s="1236"/>
      <c r="T130" s="1236"/>
      <c r="U130" s="1237"/>
      <c r="V130" s="52"/>
      <c r="W130" s="52"/>
      <c r="X130" s="265"/>
      <c r="Y130" s="265"/>
      <c r="Z130" s="265"/>
      <c r="AA130" s="747"/>
      <c r="AB130" s="590"/>
      <c r="AC130" s="590"/>
      <c r="AD130" s="203"/>
      <c r="AE130" s="203"/>
      <c r="AF130" s="203"/>
      <c r="AG130" s="203"/>
      <c r="AH130" s="203"/>
      <c r="AI130" s="203"/>
      <c r="AJ130" s="203"/>
    </row>
    <row r="131" spans="1:36" ht="13.8" thickBot="1" x14ac:dyDescent="0.3">
      <c r="A131" s="573"/>
      <c r="B131" s="213"/>
      <c r="C131" s="265"/>
      <c r="D131" s="265"/>
      <c r="E131" s="265"/>
      <c r="F131" s="265"/>
      <c r="G131" s="871" t="s">
        <v>130</v>
      </c>
      <c r="H131" s="872"/>
      <c r="I131" s="872"/>
      <c r="J131" s="872"/>
      <c r="K131" s="872"/>
      <c r="L131" s="874"/>
      <c r="M131" s="873"/>
      <c r="N131" s="1238" t="str">
        <f>IF(ISNUMBER(#REF!),#REF!,"")</f>
        <v/>
      </c>
      <c r="O131" s="1239"/>
      <c r="P131" s="1239"/>
      <c r="Q131" s="1239"/>
      <c r="R131" s="1243">
        <f>County!D34</f>
        <v>8</v>
      </c>
      <c r="S131" s="1243"/>
      <c r="T131" s="1243"/>
      <c r="U131" s="1243"/>
      <c r="V131" s="52"/>
      <c r="W131" s="52"/>
      <c r="X131" s="265"/>
      <c r="Y131" s="265"/>
      <c r="Z131" s="265"/>
      <c r="AA131" s="747"/>
      <c r="AB131" s="590"/>
      <c r="AC131" s="590"/>
      <c r="AD131" s="203"/>
      <c r="AE131" s="203"/>
      <c r="AF131" s="203"/>
      <c r="AG131" s="203"/>
      <c r="AH131" s="203"/>
      <c r="AI131" s="203"/>
      <c r="AJ131" s="203"/>
    </row>
    <row r="132" spans="1:36" ht="18" customHeight="1" thickTop="1" x14ac:dyDescent="0.25">
      <c r="A132" s="573"/>
      <c r="B132" s="213"/>
      <c r="C132" s="265"/>
      <c r="D132" s="265"/>
      <c r="E132" s="265"/>
      <c r="F132" s="265"/>
      <c r="G132" s="871" t="s">
        <v>131</v>
      </c>
      <c r="H132" s="872"/>
      <c r="I132" s="872"/>
      <c r="J132" s="872"/>
      <c r="K132" s="872"/>
      <c r="L132" s="873"/>
      <c r="M132" s="873"/>
      <c r="N132" s="873"/>
      <c r="O132" s="873"/>
      <c r="P132" s="873"/>
      <c r="Q132" s="874"/>
      <c r="R132" s="1242">
        <f>SUM(R124:R131)</f>
        <v>8</v>
      </c>
      <c r="S132" s="1242"/>
      <c r="T132" s="1242"/>
      <c r="U132" s="1242"/>
      <c r="V132" s="737"/>
      <c r="W132" s="737"/>
      <c r="X132" s="265"/>
      <c r="Y132" s="265"/>
      <c r="Z132" s="265"/>
      <c r="AA132" s="747"/>
      <c r="AB132" s="590"/>
      <c r="AC132" s="590"/>
      <c r="AD132" s="203"/>
      <c r="AE132" s="203"/>
      <c r="AF132" s="203"/>
      <c r="AG132" s="203"/>
      <c r="AH132" s="203"/>
      <c r="AI132" s="203"/>
      <c r="AJ132" s="203"/>
    </row>
    <row r="133" spans="1:36" ht="18" customHeight="1" x14ac:dyDescent="0.25">
      <c r="A133" s="573"/>
      <c r="B133" s="213"/>
      <c r="C133" s="265"/>
      <c r="D133" s="265"/>
      <c r="E133" s="265"/>
      <c r="F133" s="265"/>
      <c r="G133" s="871" t="s">
        <v>132</v>
      </c>
      <c r="H133" s="872"/>
      <c r="I133" s="872"/>
      <c r="J133" s="872"/>
      <c r="K133" s="872"/>
      <c r="L133" s="873"/>
      <c r="M133" s="873"/>
      <c r="N133" s="873"/>
      <c r="O133" s="873"/>
      <c r="P133" s="873"/>
      <c r="Q133" s="874"/>
      <c r="R133" s="1242">
        <f>IF(ISNUMBER(T120),R132-T120,R132)</f>
        <v>8</v>
      </c>
      <c r="S133" s="1242"/>
      <c r="T133" s="1242"/>
      <c r="U133" s="1242"/>
      <c r="V133" s="737"/>
      <c r="W133" s="737"/>
      <c r="X133" s="265"/>
      <c r="Y133" s="265"/>
      <c r="Z133" s="265"/>
      <c r="AA133" s="747"/>
      <c r="AB133" s="590"/>
      <c r="AC133" s="590"/>
      <c r="AD133" s="203"/>
      <c r="AE133" s="203"/>
      <c r="AF133" s="203"/>
      <c r="AG133" s="203"/>
      <c r="AH133" s="203"/>
      <c r="AI133" s="203"/>
      <c r="AJ133" s="203"/>
    </row>
    <row r="134" spans="1:36" ht="12.75" customHeight="1" x14ac:dyDescent="0.25">
      <c r="A134" s="573"/>
      <c r="B134" s="213"/>
      <c r="C134" s="265"/>
      <c r="D134" s="265"/>
      <c r="E134" s="265"/>
      <c r="F134" s="265"/>
      <c r="G134" s="871"/>
      <c r="H134" s="876"/>
      <c r="I134" s="876"/>
      <c r="J134" s="876"/>
      <c r="K134" s="876"/>
      <c r="L134" s="876"/>
      <c r="M134" s="876"/>
      <c r="N134" s="876"/>
      <c r="O134" s="876"/>
      <c r="P134" s="876"/>
      <c r="Q134" s="876"/>
      <c r="R134" s="876"/>
      <c r="S134" s="876"/>
      <c r="T134" s="876"/>
      <c r="U134" s="876"/>
      <c r="V134" s="876"/>
      <c r="W134" s="876"/>
      <c r="X134" s="876"/>
      <c r="Y134" s="876"/>
      <c r="Z134" s="876"/>
      <c r="AA134" s="877"/>
      <c r="AB134" s="590"/>
      <c r="AC134" s="590"/>
      <c r="AD134" s="203"/>
      <c r="AE134" s="203"/>
      <c r="AF134" s="203"/>
      <c r="AG134" s="203"/>
      <c r="AH134" s="203"/>
      <c r="AI134" s="203"/>
      <c r="AJ134" s="203"/>
    </row>
    <row r="135" spans="1:36" ht="12.75" customHeight="1" x14ac:dyDescent="0.25">
      <c r="A135" s="573"/>
      <c r="B135" s="213"/>
      <c r="C135" s="265"/>
      <c r="D135" s="265"/>
      <c r="E135" s="265"/>
      <c r="F135" s="265"/>
      <c r="G135" s="896" t="s">
        <v>133</v>
      </c>
      <c r="H135" s="896"/>
      <c r="I135" s="896"/>
      <c r="J135" s="896"/>
      <c r="K135" s="896"/>
      <c r="L135" s="873"/>
      <c r="M135" s="874"/>
      <c r="N135" s="1256">
        <f ca="1">IF(ISNUMBER(N136),N136,IF(OR(AND(MONTH(TODAY())=1,DAY(TODAY())=30),AND(MONTH(TODAY())=1,DAY(TODAY())=31),AND(MONTH(TODAY())=3,DAY(TODAY())=31),AND(MONTH(TODAY())=5,DAY(TODAY())=31),AND(MONTH(TODAY())=8,DAY(TODAY())=31),AND(MONTH(TODAY())=10,DAY(TODAY())=31)),TODAY()+28,TODAY()+31))</f>
        <v>44956</v>
      </c>
      <c r="O135" s="1257"/>
      <c r="P135" s="1257"/>
      <c r="Q135" s="1257"/>
      <c r="R135" s="1258"/>
      <c r="S135" s="1247"/>
      <c r="T135" s="865"/>
      <c r="U135" s="865"/>
      <c r="V135" s="865"/>
      <c r="W135" s="865"/>
      <c r="X135" s="265"/>
      <c r="Y135" s="265"/>
      <c r="Z135" s="265"/>
      <c r="AA135" s="633"/>
      <c r="AB135" s="590"/>
      <c r="AC135" s="590"/>
      <c r="AD135" s="203"/>
      <c r="AE135" s="203"/>
      <c r="AF135" s="203"/>
      <c r="AG135" s="203"/>
      <c r="AH135" s="203"/>
      <c r="AI135" s="203"/>
      <c r="AJ135" s="203"/>
    </row>
    <row r="136" spans="1:36" ht="12.75" customHeight="1" x14ac:dyDescent="0.25">
      <c r="A136" s="573"/>
      <c r="B136" s="213"/>
      <c r="C136" s="265"/>
      <c r="D136" s="265"/>
      <c r="E136" s="265"/>
      <c r="F136" s="265"/>
      <c r="G136" s="896" t="s">
        <v>134</v>
      </c>
      <c r="H136" s="896"/>
      <c r="I136" s="896"/>
      <c r="J136" s="896"/>
      <c r="K136" s="896"/>
      <c r="L136" s="873"/>
      <c r="M136" s="874"/>
      <c r="N136" s="1232"/>
      <c r="O136" s="1233"/>
      <c r="P136" s="1233"/>
      <c r="Q136" s="1233"/>
      <c r="R136" s="1234"/>
      <c r="S136" s="265"/>
      <c r="T136" s="265"/>
      <c r="U136" s="265"/>
      <c r="V136" s="265"/>
      <c r="W136" s="265"/>
      <c r="X136" s="265"/>
      <c r="Y136" s="265"/>
      <c r="Z136" s="265"/>
      <c r="AA136" s="747"/>
      <c r="AB136" s="590"/>
      <c r="AC136" s="590"/>
      <c r="AD136" s="203"/>
      <c r="AE136" s="203"/>
      <c r="AF136" s="203"/>
      <c r="AG136" s="203"/>
      <c r="AH136" s="203"/>
      <c r="AI136" s="203"/>
      <c r="AJ136" s="203"/>
    </row>
    <row r="137" spans="1:36" ht="12.75" customHeight="1" x14ac:dyDescent="0.25">
      <c r="A137" s="573"/>
      <c r="B137" s="749"/>
      <c r="C137" s="748"/>
      <c r="D137" s="748"/>
      <c r="E137" s="748"/>
      <c r="F137" s="748"/>
      <c r="G137" s="93"/>
      <c r="H137" s="93"/>
      <c r="I137" s="93"/>
      <c r="J137" s="93"/>
      <c r="K137" s="93"/>
      <c r="L137" s="113"/>
      <c r="M137" s="113"/>
      <c r="N137" s="113"/>
      <c r="O137" s="113"/>
      <c r="P137" s="107"/>
      <c r="Q137" s="748"/>
      <c r="R137" s="748"/>
      <c r="S137" s="748"/>
      <c r="T137" s="748"/>
      <c r="U137" s="748"/>
      <c r="V137" s="748"/>
      <c r="W137" s="748"/>
      <c r="X137" s="748"/>
      <c r="Y137" s="748"/>
      <c r="Z137" s="748"/>
      <c r="AA137" s="757"/>
      <c r="AB137" s="590"/>
      <c r="AC137" s="590"/>
      <c r="AD137" s="203"/>
      <c r="AE137" s="203"/>
      <c r="AF137" s="203"/>
      <c r="AG137" s="203"/>
      <c r="AH137" s="203"/>
      <c r="AI137" s="203"/>
      <c r="AJ137" s="203"/>
    </row>
    <row r="138" spans="1:36" ht="23.25" customHeight="1" x14ac:dyDescent="0.25">
      <c r="A138" s="573"/>
      <c r="B138" s="910" t="str">
        <f>IF(AND(NOT(ISBLANK(U65)),NOT(ISBLANK(Y65))),"Both Parent A and Parent B To Provide Medical Insurance.",IF(AND(ISBLANK(U65),ISBLANK(Y65)),"Medical Insurance Not Paid by Either Parent at Present (Check only if one parent to be responsible):",IF(NOT(ISBLANK(U65)),"Parent A To Provide Medical Insurance.",IF(NOT(ISBLANK(Y65)),"Parent B To Provide Medical Insurance.","Medical Insurance."))))</f>
        <v>Medical Insurance Not Paid by Either Parent at Present (Check only if one parent to be responsible):</v>
      </c>
      <c r="C138" s="1253"/>
      <c r="D138" s="1253"/>
      <c r="E138" s="1253"/>
      <c r="F138" s="1253"/>
      <c r="G138" s="1253"/>
      <c r="H138" s="1253"/>
      <c r="I138" s="1254"/>
      <c r="J138" s="1254"/>
      <c r="K138" s="1254"/>
      <c r="L138" s="1254"/>
      <c r="M138" s="1254"/>
      <c r="N138" s="1254"/>
      <c r="O138" s="1254"/>
      <c r="P138" s="1254"/>
      <c r="Q138" s="1254"/>
      <c r="R138" s="1254"/>
      <c r="S138" s="1254"/>
      <c r="T138" s="1254"/>
      <c r="U138" s="1254"/>
      <c r="V138" s="1254"/>
      <c r="W138" s="1254"/>
      <c r="X138" s="1254"/>
      <c r="Y138" s="1254"/>
      <c r="Z138" s="1254"/>
      <c r="AA138" s="1255"/>
      <c r="AB138" s="590"/>
      <c r="AC138" s="590"/>
      <c r="AD138" s="203"/>
      <c r="AE138" s="203"/>
      <c r="AF138" s="203"/>
      <c r="AG138" s="203"/>
      <c r="AH138" s="203"/>
      <c r="AI138" s="203"/>
      <c r="AJ138" s="203"/>
    </row>
    <row r="139" spans="1:36" ht="12.75" customHeight="1" x14ac:dyDescent="0.25">
      <c r="A139" s="573"/>
      <c r="B139" s="213"/>
      <c r="C139" s="265"/>
      <c r="D139" s="265"/>
      <c r="E139" s="265"/>
      <c r="F139" s="265"/>
      <c r="G139" s="90" t="str">
        <f>IF(AND(ISBLANK(U65),ISBLANK(Y65),ISBLANK(H140),ISBLANK(H141)),"x","")</f>
        <v>x</v>
      </c>
      <c r="H139" s="1274" t="str">
        <f>IF(AND(ISBLANK(U65),ISBLANK(Y65))," Both Parent A &amp; Parent B responsible to provide when available at reasonable cost.","")</f>
        <v xml:space="preserve"> Both Parent A &amp; Parent B responsible to provide when available at reasonable cost.</v>
      </c>
      <c r="I139" s="1275"/>
      <c r="J139" s="1275"/>
      <c r="K139" s="1275"/>
      <c r="L139" s="1275"/>
      <c r="M139" s="1275"/>
      <c r="N139" s="1275"/>
      <c r="O139" s="1275"/>
      <c r="P139" s="1275"/>
      <c r="Q139" s="1275"/>
      <c r="R139" s="1275"/>
      <c r="S139" s="1275"/>
      <c r="T139" s="1275"/>
      <c r="U139" s="1275"/>
      <c r="V139" s="1275"/>
      <c r="W139" s="1275"/>
      <c r="X139" s="1275"/>
      <c r="Y139" s="1275"/>
      <c r="Z139" s="1275"/>
      <c r="AA139" s="1276"/>
      <c r="AB139" s="590"/>
      <c r="AC139" s="590"/>
      <c r="AD139" s="203"/>
      <c r="AE139" s="203"/>
      <c r="AF139" s="203"/>
      <c r="AG139" s="203"/>
      <c r="AH139" s="203"/>
      <c r="AI139" s="203"/>
      <c r="AJ139" s="203"/>
    </row>
    <row r="140" spans="1:36" ht="12.75" customHeight="1" x14ac:dyDescent="0.25">
      <c r="A140" s="573"/>
      <c r="B140" s="1264" t="str">
        <f>IF(AND(H140="x",H141="x"),"Check Only 1!","")</f>
        <v/>
      </c>
      <c r="C140" s="1265"/>
      <c r="D140" s="1265"/>
      <c r="E140" s="1265"/>
      <c r="F140" s="1265"/>
      <c r="G140" s="1265"/>
      <c r="H140" s="510"/>
      <c r="I140" s="332" t="str">
        <f>IF(AND(ISBLANK(U65),ISBLANK(Y65))," Parent A to provide when available at reasonable cost.","")</f>
        <v xml:space="preserve"> Parent A to provide when available at reasonable cost.</v>
      </c>
      <c r="J140" s="614"/>
      <c r="K140" s="614"/>
      <c r="L140" s="614"/>
      <c r="M140" s="614"/>
      <c r="N140" s="614"/>
      <c r="O140" s="614"/>
      <c r="P140" s="614"/>
      <c r="Q140" s="614"/>
      <c r="R140" s="614"/>
      <c r="S140" s="614"/>
      <c r="T140" s="614"/>
      <c r="U140" s="614"/>
      <c r="V140" s="614"/>
      <c r="W140" s="614"/>
      <c r="X140" s="614"/>
      <c r="Y140" s="614"/>
      <c r="Z140" s="614"/>
      <c r="AA140" s="169"/>
      <c r="AB140" s="590"/>
      <c r="AC140" s="590"/>
      <c r="AD140" s="203"/>
      <c r="AE140" s="203"/>
      <c r="AF140" s="203"/>
      <c r="AG140" s="203"/>
      <c r="AH140" s="203"/>
      <c r="AI140" s="203"/>
      <c r="AJ140" s="203"/>
    </row>
    <row r="141" spans="1:36" ht="12.75" customHeight="1" x14ac:dyDescent="0.25">
      <c r="A141" s="573"/>
      <c r="B141" s="1264"/>
      <c r="C141" s="1265"/>
      <c r="D141" s="1265"/>
      <c r="E141" s="1265"/>
      <c r="F141" s="1265"/>
      <c r="G141" s="1265"/>
      <c r="H141" s="510"/>
      <c r="I141" s="332" t="str">
        <f>IF(AND(ISBLANK(U65),ISBLANK(Y65))," Parent B to provide when available at reasonable cost.","")</f>
        <v xml:space="preserve"> Parent B to provide when available at reasonable cost.</v>
      </c>
      <c r="J141" s="614"/>
      <c r="K141" s="614"/>
      <c r="L141" s="614"/>
      <c r="M141" s="614"/>
      <c r="N141" s="614"/>
      <c r="O141" s="614"/>
      <c r="P141" s="614"/>
      <c r="Q141" s="614"/>
      <c r="R141" s="614"/>
      <c r="S141" s="614"/>
      <c r="T141" s="614"/>
      <c r="U141" s="614"/>
      <c r="V141" s="614"/>
      <c r="W141" s="614"/>
      <c r="X141" s="614"/>
      <c r="Y141" s="614"/>
      <c r="Z141" s="614"/>
      <c r="AA141" s="169"/>
      <c r="AB141" s="590"/>
      <c r="AC141" s="590"/>
      <c r="AD141" s="203"/>
      <c r="AE141" s="203"/>
      <c r="AF141" s="203"/>
      <c r="AG141" s="203"/>
      <c r="AH141" s="203"/>
      <c r="AI141" s="203"/>
      <c r="AJ141" s="203"/>
    </row>
    <row r="142" spans="1:36" ht="12.75" customHeight="1" x14ac:dyDescent="0.25">
      <c r="A142" s="573"/>
      <c r="B142" s="82"/>
      <c r="C142" s="693"/>
      <c r="D142" s="693"/>
      <c r="E142" s="693"/>
      <c r="F142" s="693"/>
      <c r="G142" s="693"/>
      <c r="H142" s="258"/>
      <c r="I142" s="693"/>
      <c r="J142" s="693"/>
      <c r="K142" s="693"/>
      <c r="L142" s="693"/>
      <c r="M142" s="693"/>
      <c r="N142" s="693"/>
      <c r="O142" s="693"/>
      <c r="P142" s="693"/>
      <c r="Q142" s="693"/>
      <c r="R142" s="206"/>
      <c r="S142" s="590"/>
      <c r="T142" s="590"/>
      <c r="U142" s="590"/>
      <c r="V142" s="590"/>
      <c r="W142" s="590"/>
      <c r="X142" s="590"/>
      <c r="Y142" s="590"/>
      <c r="Z142" s="590"/>
      <c r="AA142" s="276"/>
      <c r="AB142" s="590"/>
      <c r="AC142" s="590"/>
      <c r="AD142" s="203"/>
      <c r="AE142" s="203"/>
      <c r="AF142" s="203"/>
      <c r="AG142" s="203"/>
      <c r="AH142" s="203"/>
      <c r="AI142" s="203"/>
      <c r="AJ142" s="203"/>
    </row>
    <row r="143" spans="1:36" ht="12.75" customHeight="1" x14ac:dyDescent="0.25">
      <c r="A143" s="573"/>
      <c r="B143" s="312" t="s">
        <v>135</v>
      </c>
      <c r="C143" s="693"/>
      <c r="D143" s="693"/>
      <c r="E143" s="693"/>
      <c r="F143" s="693"/>
      <c r="G143" s="1248"/>
      <c r="H143" s="1249"/>
      <c r="I143" s="1252" t="str">
        <f>IF(ISBLANK(G143),U71,G143)</f>
        <v/>
      </c>
      <c r="J143" s="1136"/>
      <c r="K143" s="1250" t="s">
        <v>49</v>
      </c>
      <c r="L143" s="1250"/>
      <c r="M143" s="1250"/>
      <c r="N143" s="1251" t="str">
        <f>IF(NOT(ISNUMBER(I143)),"",IF(ISBLANK(G143),1-I143,1-G143))</f>
        <v/>
      </c>
      <c r="O143" s="1251"/>
      <c r="P143" s="1250" t="s">
        <v>50</v>
      </c>
      <c r="Q143" s="1250"/>
      <c r="R143" s="1250"/>
      <c r="S143" s="590"/>
      <c r="T143" s="590"/>
      <c r="U143" s="590"/>
      <c r="V143" s="590"/>
      <c r="W143" s="590"/>
      <c r="X143" s="590"/>
      <c r="Y143" s="590"/>
      <c r="Z143" s="590"/>
      <c r="AA143" s="276"/>
      <c r="AB143" s="590"/>
      <c r="AC143" s="590"/>
      <c r="AD143" s="203"/>
      <c r="AE143" s="203"/>
      <c r="AF143" s="203"/>
      <c r="AG143" s="203"/>
      <c r="AH143" s="203"/>
      <c r="AI143" s="203"/>
      <c r="AJ143" s="203"/>
    </row>
    <row r="144" spans="1:36" ht="12.75" customHeight="1" x14ac:dyDescent="0.3">
      <c r="A144" s="573"/>
      <c r="B144" s="82"/>
      <c r="C144" s="693"/>
      <c r="D144" s="693"/>
      <c r="E144" s="693"/>
      <c r="F144" s="693"/>
      <c r="G144" s="94"/>
      <c r="H144" s="693"/>
      <c r="I144" s="693"/>
      <c r="J144" s="693"/>
      <c r="K144" s="693"/>
      <c r="L144" s="693"/>
      <c r="M144" s="693"/>
      <c r="N144" s="693"/>
      <c r="O144" s="693"/>
      <c r="P144" s="693"/>
      <c r="Q144" s="693"/>
      <c r="R144" s="315"/>
      <c r="S144" s="590"/>
      <c r="T144" s="590"/>
      <c r="U144" s="590"/>
      <c r="V144" s="590"/>
      <c r="W144" s="590"/>
      <c r="X144" s="590"/>
      <c r="Y144" s="590"/>
      <c r="Z144" s="590"/>
      <c r="AA144" s="276"/>
      <c r="AB144" s="590"/>
      <c r="AC144" s="590"/>
      <c r="AD144" s="203"/>
      <c r="AE144" s="203"/>
      <c r="AF144" s="203"/>
      <c r="AG144" s="203"/>
      <c r="AH144" s="203"/>
      <c r="AI144" s="203"/>
      <c r="AJ144" s="203"/>
    </row>
    <row r="145" spans="1:37" ht="12.75" customHeight="1" x14ac:dyDescent="0.25">
      <c r="A145" s="573"/>
      <c r="B145" s="312" t="s">
        <v>136</v>
      </c>
      <c r="C145" s="693"/>
      <c r="D145" s="693"/>
      <c r="E145" s="693"/>
      <c r="F145" s="693"/>
      <c r="G145" s="1248"/>
      <c r="H145" s="1249"/>
      <c r="I145" s="1252" t="str">
        <f>IF(ISBLANK(G145),U71,G145)</f>
        <v/>
      </c>
      <c r="J145" s="1136"/>
      <c r="K145" s="1250" t="s">
        <v>49</v>
      </c>
      <c r="L145" s="1250"/>
      <c r="M145" s="1250"/>
      <c r="N145" s="1251" t="str">
        <f>IF(NOT(ISNUMBER(I145)),"",IF(ISBLANK(G145),1-I145,1-G145))</f>
        <v/>
      </c>
      <c r="O145" s="1251"/>
      <c r="P145" s="1250" t="s">
        <v>50</v>
      </c>
      <c r="Q145" s="1250"/>
      <c r="R145" s="1250"/>
      <c r="S145" s="590"/>
      <c r="T145" s="590"/>
      <c r="U145" s="590"/>
      <c r="V145" s="590"/>
      <c r="W145" s="590"/>
      <c r="X145" s="590"/>
      <c r="Y145" s="590"/>
      <c r="Z145" s="590"/>
      <c r="AA145" s="276"/>
      <c r="AB145" s="590"/>
      <c r="AC145" s="590"/>
      <c r="AD145" s="203"/>
      <c r="AE145" s="203"/>
      <c r="AF145" s="203"/>
      <c r="AG145" s="203"/>
      <c r="AH145" s="203"/>
      <c r="AI145" s="203"/>
      <c r="AJ145" s="203"/>
      <c r="AK145" s="206"/>
    </row>
    <row r="146" spans="1:37" ht="12.75" customHeight="1" x14ac:dyDescent="0.3">
      <c r="A146" s="573"/>
      <c r="B146" s="84"/>
      <c r="C146" s="85"/>
      <c r="D146" s="85"/>
      <c r="E146" s="85"/>
      <c r="F146" s="85"/>
      <c r="G146" s="85"/>
      <c r="H146" s="85"/>
      <c r="I146" s="85"/>
      <c r="J146" s="85"/>
      <c r="K146" s="85"/>
      <c r="L146" s="85"/>
      <c r="M146" s="85"/>
      <c r="N146" s="85"/>
      <c r="O146" s="85"/>
      <c r="P146" s="85"/>
      <c r="Q146" s="85"/>
      <c r="R146" s="316"/>
      <c r="S146" s="470"/>
      <c r="T146" s="470"/>
      <c r="U146" s="590"/>
      <c r="V146" s="590"/>
      <c r="W146" s="590"/>
      <c r="X146" s="590"/>
      <c r="Y146" s="590"/>
      <c r="Z146" s="590"/>
      <c r="AA146" s="282"/>
      <c r="AB146" s="590"/>
      <c r="AC146" s="590"/>
      <c r="AD146" s="203"/>
      <c r="AE146" s="203"/>
      <c r="AF146" s="203"/>
      <c r="AG146" s="203"/>
      <c r="AH146" s="203"/>
      <c r="AI146" s="203"/>
      <c r="AJ146" s="203"/>
      <c r="AK146" s="206"/>
    </row>
    <row r="147" spans="1:37" ht="12.75" customHeight="1" x14ac:dyDescent="0.3">
      <c r="A147" s="573"/>
      <c r="B147" s="82"/>
      <c r="C147" s="693"/>
      <c r="D147" s="693"/>
      <c r="E147" s="693"/>
      <c r="F147" s="693"/>
      <c r="G147" s="693"/>
      <c r="H147" s="693"/>
      <c r="I147" s="693"/>
      <c r="J147" s="693"/>
      <c r="K147" s="693"/>
      <c r="L147" s="693"/>
      <c r="M147" s="693"/>
      <c r="N147" s="693"/>
      <c r="O147" s="693"/>
      <c r="P147" s="693"/>
      <c r="Q147" s="693"/>
      <c r="R147" s="693"/>
      <c r="S147" s="693"/>
      <c r="T147" s="693"/>
      <c r="U147" s="758"/>
      <c r="V147" s="759"/>
      <c r="W147" s="759"/>
      <c r="X147" s="759"/>
      <c r="Y147" s="759"/>
      <c r="Z147" s="759"/>
      <c r="AA147" s="760"/>
      <c r="AB147" s="590"/>
      <c r="AC147" s="590"/>
      <c r="AD147" s="203"/>
      <c r="AE147" s="203"/>
      <c r="AF147" s="203"/>
      <c r="AG147" s="203"/>
      <c r="AH147" s="203"/>
      <c r="AI147" s="203"/>
      <c r="AJ147" s="203"/>
      <c r="AK147" s="206"/>
    </row>
    <row r="148" spans="1:37" ht="12.75" customHeight="1" x14ac:dyDescent="0.25">
      <c r="A148" s="573"/>
      <c r="B148" s="312" t="s">
        <v>137</v>
      </c>
      <c r="C148" s="693"/>
      <c r="D148" s="693"/>
      <c r="E148" s="693"/>
      <c r="F148" s="693"/>
      <c r="G148" s="693"/>
      <c r="H148" s="693"/>
      <c r="I148" s="693"/>
      <c r="J148" s="693"/>
      <c r="K148" s="224" t="str">
        <f>IF(NOT(ISBLANK(K149)),"","x")</f>
        <v>x</v>
      </c>
      <c r="L148" s="244" t="s">
        <v>138</v>
      </c>
      <c r="M148" s="645"/>
      <c r="N148" s="645"/>
      <c r="O148" s="645"/>
      <c r="P148" s="645"/>
      <c r="Q148" s="645"/>
      <c r="R148" s="645"/>
      <c r="S148" s="645"/>
      <c r="T148" s="645"/>
      <c r="U148" s="645"/>
      <c r="V148" s="645"/>
      <c r="W148" s="645"/>
      <c r="X148" s="645"/>
      <c r="Y148" s="645"/>
      <c r="Z148" s="645"/>
      <c r="AA148" s="243"/>
      <c r="AB148" s="590"/>
      <c r="AC148" s="590"/>
      <c r="AD148" s="203"/>
      <c r="AE148" s="203"/>
      <c r="AF148" s="203"/>
      <c r="AG148" s="203"/>
      <c r="AH148" s="203"/>
      <c r="AI148" s="203"/>
      <c r="AJ148" s="203"/>
      <c r="AK148" s="206"/>
    </row>
    <row r="149" spans="1:37" ht="12.75" customHeight="1" x14ac:dyDescent="0.25">
      <c r="A149" s="573"/>
      <c r="B149" s="312"/>
      <c r="C149" s="693"/>
      <c r="D149" s="693"/>
      <c r="E149" s="693"/>
      <c r="F149" s="693"/>
      <c r="G149" s="693"/>
      <c r="H149" s="693"/>
      <c r="I149" s="693"/>
      <c r="J149" s="693"/>
      <c r="K149" s="165"/>
      <c r="L149" s="245" t="s">
        <v>139</v>
      </c>
      <c r="M149" s="246"/>
      <c r="N149" s="246"/>
      <c r="O149" s="246"/>
      <c r="P149" s="247"/>
      <c r="Q149" s="248"/>
      <c r="R149" s="248"/>
      <c r="S149" s="248"/>
      <c r="T149" s="248"/>
      <c r="U149" s="248"/>
      <c r="V149" s="248"/>
      <c r="W149" s="248"/>
      <c r="X149" s="248"/>
      <c r="Y149" s="248"/>
      <c r="Z149" s="248"/>
      <c r="AA149" s="243"/>
      <c r="AB149" s="590"/>
      <c r="AC149" s="590"/>
      <c r="AD149" s="203"/>
      <c r="AE149" s="203"/>
      <c r="AF149" s="203"/>
      <c r="AG149" s="203"/>
      <c r="AH149" s="203"/>
      <c r="AI149" s="203"/>
      <c r="AJ149" s="203"/>
      <c r="AK149" s="206"/>
    </row>
    <row r="150" spans="1:37" ht="12.75" customHeight="1" x14ac:dyDescent="0.25">
      <c r="A150" s="573"/>
      <c r="B150" s="1259" t="str">
        <f>IF(OR(ChildDobExists,L151="x"),"","Dates of Birth For All Children Not Listed--Tax Table Must Be Customized")</f>
        <v/>
      </c>
      <c r="C150" s="1260"/>
      <c r="D150" s="1260"/>
      <c r="E150" s="1260"/>
      <c r="F150" s="1260"/>
      <c r="G150" s="1260"/>
      <c r="H150" s="1260"/>
      <c r="I150" s="1260"/>
      <c r="J150" s="1260"/>
      <c r="K150" s="1260"/>
      <c r="L150" s="1260"/>
      <c r="M150" s="1260"/>
      <c r="N150" s="1260"/>
      <c r="O150" s="1260"/>
      <c r="P150" s="1260"/>
      <c r="Q150" s="1260"/>
      <c r="R150" s="1260"/>
      <c r="S150" s="1260"/>
      <c r="T150" s="1260"/>
      <c r="U150" s="1260"/>
      <c r="V150" s="1260"/>
      <c r="W150" s="1260"/>
      <c r="X150" s="1260"/>
      <c r="Y150" s="1260"/>
      <c r="Z150" s="1260"/>
      <c r="AA150" s="1261"/>
      <c r="AB150" s="590"/>
      <c r="AC150" s="590"/>
      <c r="AD150" s="203"/>
      <c r="AE150" s="203"/>
      <c r="AF150" s="203"/>
      <c r="AG150" s="203"/>
      <c r="AH150" s="203"/>
      <c r="AI150" s="203"/>
      <c r="AJ150" s="203"/>
      <c r="AK150" s="206"/>
    </row>
    <row r="151" spans="1:37" ht="12.75" customHeight="1" x14ac:dyDescent="0.25">
      <c r="A151" s="573"/>
      <c r="B151" s="312" t="s">
        <v>140</v>
      </c>
      <c r="C151" s="693"/>
      <c r="D151" s="693"/>
      <c r="E151" s="693"/>
      <c r="F151" s="693"/>
      <c r="G151" s="693"/>
      <c r="H151" s="693"/>
      <c r="I151" s="265"/>
      <c r="J151" s="265"/>
      <c r="K151" s="125"/>
      <c r="L151" s="165"/>
      <c r="M151" s="618" t="s">
        <v>141</v>
      </c>
      <c r="N151" s="693"/>
      <c r="O151" s="693"/>
      <c r="P151" s="693"/>
      <c r="Q151" s="693"/>
      <c r="R151" s="693"/>
      <c r="S151" s="693"/>
      <c r="T151" s="693"/>
      <c r="U151" s="173"/>
      <c r="V151" s="173"/>
      <c r="W151" s="173"/>
      <c r="X151" s="173"/>
      <c r="Y151" s="173"/>
      <c r="Z151" s="173"/>
      <c r="AA151" s="243"/>
      <c r="AB151" s="590"/>
      <c r="AC151" s="590"/>
      <c r="AD151" s="203"/>
      <c r="AE151" s="203"/>
      <c r="AF151" s="203"/>
      <c r="AG151" s="203"/>
      <c r="AH151" s="203"/>
      <c r="AI151" s="203"/>
      <c r="AJ151" s="203"/>
      <c r="AK151" s="206"/>
    </row>
    <row r="152" spans="1:37" x14ac:dyDescent="0.25">
      <c r="A152" s="573"/>
      <c r="B152" s="312"/>
      <c r="C152" s="206"/>
      <c r="D152" s="693"/>
      <c r="E152" s="693"/>
      <c r="F152" s="693"/>
      <c r="G152" s="693"/>
      <c r="H152" s="693"/>
      <c r="I152" s="693"/>
      <c r="J152" s="693"/>
      <c r="K152" s="693"/>
      <c r="L152" s="693"/>
      <c r="M152" s="693"/>
      <c r="N152" s="693"/>
      <c r="O152" s="693"/>
      <c r="P152" s="693"/>
      <c r="Q152" s="693"/>
      <c r="R152" s="693"/>
      <c r="S152" s="693"/>
      <c r="T152" s="693"/>
      <c r="U152" s="173"/>
      <c r="V152" s="173"/>
      <c r="W152" s="173"/>
      <c r="X152" s="173"/>
      <c r="Y152" s="173"/>
      <c r="Z152" s="173"/>
      <c r="AA152" s="243"/>
      <c r="AB152" s="590"/>
      <c r="AC152" s="590"/>
      <c r="AD152" s="203"/>
      <c r="AE152" s="203"/>
      <c r="AF152" s="203"/>
      <c r="AG152" s="203"/>
      <c r="AH152" s="203"/>
      <c r="AI152" s="203"/>
      <c r="AJ152" s="203"/>
      <c r="AK152" s="206"/>
    </row>
    <row r="153" spans="1:37" x14ac:dyDescent="0.25">
      <c r="A153" s="573"/>
      <c r="B153" s="312"/>
      <c r="C153" s="693"/>
      <c r="D153" s="693"/>
      <c r="E153" s="1272" t="s">
        <v>142</v>
      </c>
      <c r="F153" s="1273"/>
      <c r="G153" s="1273"/>
      <c r="H153" s="1209"/>
      <c r="I153" s="1210" t="s">
        <v>18</v>
      </c>
      <c r="J153" s="1266"/>
      <c r="K153" s="1267"/>
      <c r="L153" s="1216" t="s">
        <v>143</v>
      </c>
      <c r="M153" s="1217"/>
      <c r="N153" s="1217"/>
      <c r="O153" s="1217"/>
      <c r="P153" s="1217"/>
      <c r="Q153" s="1218"/>
      <c r="R153" s="1218"/>
      <c r="S153" s="1218"/>
      <c r="T153" s="1218"/>
      <c r="U153" s="1218"/>
      <c r="V153" s="1218"/>
      <c r="W153" s="1218"/>
      <c r="X153" s="1218"/>
      <c r="Y153" s="934"/>
      <c r="Z153" s="935"/>
      <c r="AA153" s="747"/>
      <c r="AB153" s="590"/>
      <c r="AC153" s="590"/>
      <c r="AD153" s="203"/>
      <c r="AE153" s="203"/>
      <c r="AF153" s="203"/>
      <c r="AG153" s="203"/>
      <c r="AH153" s="203"/>
      <c r="AI153" s="203"/>
      <c r="AJ153" s="203"/>
      <c r="AK153" s="206"/>
    </row>
    <row r="154" spans="1:37" x14ac:dyDescent="0.25">
      <c r="A154" s="573"/>
      <c r="B154" s="293" t="s">
        <v>144</v>
      </c>
      <c r="C154" s="693"/>
      <c r="D154" s="628"/>
      <c r="E154" s="1273"/>
      <c r="F154" s="1273"/>
      <c r="G154" s="1273"/>
      <c r="H154" s="1209"/>
      <c r="I154" s="1268"/>
      <c r="J154" s="1269"/>
      <c r="K154" s="1270"/>
      <c r="L154" s="1271">
        <f ca="1">WorksheetYear</f>
        <v>2022</v>
      </c>
      <c r="M154" s="1209"/>
      <c r="N154" s="1209"/>
      <c r="O154" s="1208" t="str">
        <f>IF(NOT(ISNUMBER(I155)),"",IF(L154+1&lt;=YEAR(MAX(I155:I160))+18,L154+1,""))</f>
        <v/>
      </c>
      <c r="P154" s="1209"/>
      <c r="Q154" s="1209"/>
      <c r="R154" s="1208" t="str">
        <f>IF(OR(NOT(ISNUMBER(I155)),Tax!E15=0.5),"",IF(L154+2&lt;=YEAR(MAX(I155:I160))+18,L154+2,""))</f>
        <v/>
      </c>
      <c r="S154" s="1209"/>
      <c r="T154" s="1209"/>
      <c r="U154" s="1208" t="str">
        <f>IF(OR(NOT(ISNUMBER(I155)),Tax!E15=0.7,Tax!E15=0.5,Tax!E15=0.3),"",IF(L154+3&lt;=YEAR(MAX(I155:I160))+18,L154+3,""))</f>
        <v/>
      </c>
      <c r="V154" s="1209"/>
      <c r="W154" s="1209"/>
      <c r="X154" s="1208" t="str">
        <f>IF(OR(NOT(ISNUMBER(I155)),Tax!E15=0.75,Tax!E15=0.7,Tax!E15=0.5,Tax!E15=0.3,Tax!E15=0.25),"",IF(L154+4&lt;=YEAR(MAX(I155:I160))+18,L154+4,""))</f>
        <v/>
      </c>
      <c r="Y154" s="1209"/>
      <c r="Z154" s="1209"/>
      <c r="AA154" s="747"/>
      <c r="AB154" s="590"/>
      <c r="AC154" s="590"/>
      <c r="AD154" s="203"/>
      <c r="AE154" s="203"/>
      <c r="AF154" s="203"/>
      <c r="AG154" s="203"/>
      <c r="AH154" s="203"/>
      <c r="AI154" s="203"/>
      <c r="AJ154" s="203"/>
      <c r="AK154" s="206"/>
    </row>
    <row r="155" spans="1:37" x14ac:dyDescent="0.25">
      <c r="A155" s="573"/>
      <c r="B155" s="312" t="s">
        <v>145</v>
      </c>
      <c r="C155" s="693"/>
      <c r="D155" s="628">
        <f>COUNTIF(L155:Z160,"Parent A")</f>
        <v>0</v>
      </c>
      <c r="E155" s="927" t="str">
        <f>IF(AND(ISBLANK(F18),ISNUMBER(I155),I155=MIN(I155:I160)),"Oldest Child",IF(AND(ISBLANK(F18),ISNUMBER(I155),I155=MAX(I155:I160)),"Youngest Child",IF(AND(ISBLANK(F18),ISNUMBER(I155)),"Child 1",IF(NOT(ISBLANK(F18)),F18,""))))</f>
        <v/>
      </c>
      <c r="F155" s="928"/>
      <c r="G155" s="928"/>
      <c r="H155" s="928"/>
      <c r="I155" s="1207" t="str">
        <f t="shared" ref="I155:I160" si="0">IF(NOT(ISBLANK(M18)),M18,IF(AND(ISBLANK(M18),ISNUMBER(S18)),"unknown",""))</f>
        <v/>
      </c>
      <c r="J155" s="928"/>
      <c r="K155" s="928"/>
      <c r="L155" s="1245" t="str">
        <f>IF(NOT(ISNUMBER(I155)),"",IF(L154&lt;=YEAR(I155)+18,VLOOKUP(TaxAB!D13,TaxAB!D27:J331,3,FALSE),""))</f>
        <v/>
      </c>
      <c r="M155" s="1246"/>
      <c r="N155" s="1084"/>
      <c r="O155" s="1204" t="str">
        <f>IF(NOT(ISNUMBER(I155)),"",IF(O154&lt;=YEAR(I155)+18,VLOOKUP(TaxAB!D13,TaxAB!D27:J331,4,FALSE),""))</f>
        <v/>
      </c>
      <c r="P155" s="1205"/>
      <c r="Q155" s="1206"/>
      <c r="R155" s="1204" t="str">
        <f>IF(NOT(ISNUMBER(I155)),"",IF(R154&lt;=YEAR(I155)+18,VLOOKUP(TaxAB!D13,TaxAB!D27:J331,5,FALSE),""))</f>
        <v/>
      </c>
      <c r="S155" s="1262"/>
      <c r="T155" s="1263"/>
      <c r="U155" s="1204" t="str">
        <f>IF(NOT(ISNUMBER(I155)),"",IF(U154&lt;=YEAR(I155)+18,VLOOKUP(TaxAB!D13,TaxAB!D27:J331,6,FALSE),""))</f>
        <v/>
      </c>
      <c r="V155" s="1262"/>
      <c r="W155" s="1263"/>
      <c r="X155" s="1204" t="str">
        <f>IF(NOT(ISNUMBER(I155)),"",IF(X154&lt;=YEAR(I155)+18,VLOOKUP(TaxAB!D13,TaxAB!D27:J331,7,FALSE),""))</f>
        <v/>
      </c>
      <c r="Y155" s="1205"/>
      <c r="Z155" s="1206"/>
      <c r="AA155" s="747"/>
      <c r="AB155" s="590"/>
      <c r="AC155" s="590"/>
      <c r="AD155" s="203"/>
      <c r="AE155" s="203"/>
      <c r="AF155" s="203"/>
      <c r="AG155" s="203"/>
      <c r="AH155" s="203"/>
      <c r="AI155" s="203"/>
      <c r="AJ155" s="203"/>
      <c r="AK155" s="206"/>
    </row>
    <row r="156" spans="1:37" x14ac:dyDescent="0.25">
      <c r="A156" s="573"/>
      <c r="B156" s="312" t="s">
        <v>146</v>
      </c>
      <c r="C156" s="693"/>
      <c r="D156" s="289">
        <f>COUNTIF(L155:Z160,"Parent B")</f>
        <v>0</v>
      </c>
      <c r="E156" s="927" t="str">
        <f>IF(AND(ISBLANK(F19),ISNUMBER(I156),I156=MIN(I155:I160)),"Oldest Child",IF(AND(ISBLANK(F19),ISNUMBER(I156),I156=MAX(I155:I160)),"Youngest Child",IF(AND(ISBLANK(F19),ISNUMBER(I156)),"Child 2",IF(NOT(ISBLANK(F19)),F19,""))))</f>
        <v/>
      </c>
      <c r="F156" s="928"/>
      <c r="G156" s="928"/>
      <c r="H156" s="928"/>
      <c r="I156" s="1207" t="str">
        <f t="shared" si="0"/>
        <v/>
      </c>
      <c r="J156" s="928"/>
      <c r="K156" s="928"/>
      <c r="L156" s="1204" t="str">
        <f>IF(NOT(ISNUMBER(I156)),"",IF(L154&lt;=YEAR(I156)+18,VLOOKUP(TaxAB!D13+1,TaxAB!D27:J331,3,FALSE),""))</f>
        <v/>
      </c>
      <c r="M156" s="1205"/>
      <c r="N156" s="1206"/>
      <c r="O156" s="1204" t="str">
        <f>IF(NOT(ISNUMBER(I156)),"",IF(O154&lt;=YEAR(I156)+18,VLOOKUP(TaxAB!D13+1,TaxAB!D27:J331,4,FALSE),""))</f>
        <v/>
      </c>
      <c r="P156" s="1205"/>
      <c r="Q156" s="1206"/>
      <c r="R156" s="1204" t="str">
        <f>IF(NOT(ISNUMBER(I156)),"",IF(R154&lt;=YEAR(I156)+18,VLOOKUP(TaxAB!D13+1,TaxAB!D27:J331,5,FALSE),""))</f>
        <v/>
      </c>
      <c r="S156" s="1205"/>
      <c r="T156" s="1206"/>
      <c r="U156" s="1204" t="str">
        <f>IF(NOT(ISNUMBER(I156)),"",IF(U154&lt;=YEAR(I156)+18,VLOOKUP(TaxAB!D13+1,TaxAB!D27:J331,6,FALSE),""))</f>
        <v/>
      </c>
      <c r="V156" s="1262"/>
      <c r="W156" s="1263"/>
      <c r="X156" s="1204" t="str">
        <f>IF(NOT(ISNUMBER(I156)),"",IF(X154&lt;=YEAR(I156)+18,VLOOKUP(TaxAB!D13+1,TaxAB!D27:J331,7,FALSE),""))</f>
        <v/>
      </c>
      <c r="Y156" s="1205"/>
      <c r="Z156" s="1206"/>
      <c r="AA156" s="747"/>
      <c r="AB156" s="590"/>
      <c r="AC156" s="590"/>
      <c r="AD156" s="203"/>
      <c r="AE156" s="203"/>
      <c r="AF156" s="203"/>
      <c r="AG156" s="203"/>
      <c r="AH156" s="203"/>
      <c r="AI156" s="203"/>
      <c r="AJ156" s="203"/>
      <c r="AK156" s="206"/>
    </row>
    <row r="157" spans="1:37" x14ac:dyDescent="0.25">
      <c r="A157" s="573"/>
      <c r="B157" s="897" t="s">
        <v>147</v>
      </c>
      <c r="C157" s="947"/>
      <c r="D157" s="646">
        <f>D155+D156</f>
        <v>0</v>
      </c>
      <c r="E157" s="927" t="str">
        <f>IF(AND(ISBLANK(F20),ISNUMBER(I157),I157=MIN(I155:I160)),"Oldest Child",IF(AND(ISBLANK(F20),ISNUMBER(I157),I157=MAX(I155:I160)),"Youngest Child",IF(AND(ISBLANK(F20),ISNUMBER(I157)),"Child 3",IF(NOT(ISBLANK(F20)),F20,""))))</f>
        <v/>
      </c>
      <c r="F157" s="928"/>
      <c r="G157" s="928"/>
      <c r="H157" s="928"/>
      <c r="I157" s="1207" t="str">
        <f t="shared" si="0"/>
        <v/>
      </c>
      <c r="J157" s="928"/>
      <c r="K157" s="928"/>
      <c r="L157" s="1204" t="str">
        <f>IF(NOT(ISNUMBER(I157)),"",IF(L154&lt;=YEAR(I157)+18,VLOOKUP(TaxAB!D13+2,TaxAB!D27:J331,3,FALSE),""))</f>
        <v/>
      </c>
      <c r="M157" s="1205"/>
      <c r="N157" s="1206"/>
      <c r="O157" s="1204" t="str">
        <f>IF(NOT(ISNUMBER(I157)),"",IF(O154&lt;=YEAR(I157)+18,VLOOKUP(TaxAB!D13+2,TaxAB!D27:J331,4,FALSE),""))</f>
        <v/>
      </c>
      <c r="P157" s="1205"/>
      <c r="Q157" s="1206"/>
      <c r="R157" s="1204" t="str">
        <f>IF(NOT(ISNUMBER(I157)),"",IF(R154&lt;=YEAR(I157)+18,VLOOKUP(TaxAB!D13+2,TaxAB!D27:J331,5,FALSE),""))</f>
        <v/>
      </c>
      <c r="S157" s="1205"/>
      <c r="T157" s="1206"/>
      <c r="U157" s="1204" t="str">
        <f>IF(NOT(ISNUMBER(I157)),"",IF(U154&lt;=YEAR(I157)+18,VLOOKUP(TaxAB!D13+2,TaxAB!D27:J331,6,FALSE),""))</f>
        <v/>
      </c>
      <c r="V157" s="1262"/>
      <c r="W157" s="1263"/>
      <c r="X157" s="1204" t="str">
        <f>IF(NOT(ISNUMBER(I157)),"",IF(X154&lt;=YEAR(I157)+18,VLOOKUP(TaxAB!D13+2,TaxAB!D27:J331,7,FALSE),""))</f>
        <v/>
      </c>
      <c r="Y157" s="1205"/>
      <c r="Z157" s="1206"/>
      <c r="AA157" s="747"/>
      <c r="AB157" s="590"/>
      <c r="AC157" s="590"/>
      <c r="AD157" s="203"/>
      <c r="AE157" s="203"/>
      <c r="AF157" s="203"/>
      <c r="AG157" s="203"/>
      <c r="AH157" s="203"/>
      <c r="AI157" s="203"/>
      <c r="AJ157" s="203"/>
      <c r="AK157" s="206"/>
    </row>
    <row r="158" spans="1:37" x14ac:dyDescent="0.25">
      <c r="A158" s="573"/>
      <c r="B158" s="284"/>
      <c r="C158" s="573"/>
      <c r="D158" s="286"/>
      <c r="E158" s="927" t="str">
        <f>IF(AND(ISBLANK(F21),ISNUMBER(I158),I158=MIN(I155:I160)),"Oldest Child",IF(AND(ISBLANK(F21),ISNUMBER(I158),I158=MAX(I155:I160)),"Youngest Child",IF(AND(ISBLANK(F21),ISNUMBER(I158)),"Child 4",IF(NOT(ISBLANK(F21)),F21,""))))</f>
        <v/>
      </c>
      <c r="F158" s="928"/>
      <c r="G158" s="928"/>
      <c r="H158" s="928"/>
      <c r="I158" s="1207" t="str">
        <f t="shared" si="0"/>
        <v/>
      </c>
      <c r="J158" s="928"/>
      <c r="K158" s="928"/>
      <c r="L158" s="1204" t="str">
        <f>IF(NOT(ISNUMBER(I158)),"",IF(L154&lt;=YEAR(I158)+18,VLOOKUP(TaxAB!D13+3,TaxAB!D27:J331,3,FALSE),""))</f>
        <v/>
      </c>
      <c r="M158" s="1205"/>
      <c r="N158" s="1206"/>
      <c r="O158" s="1204" t="str">
        <f>IF(NOT(ISNUMBER(I158)),"",IF(O154&lt;=YEAR(I158)+18,VLOOKUP(TaxAB!D13+3,TaxAB!D27:J331,4,FALSE),""))</f>
        <v/>
      </c>
      <c r="P158" s="1205"/>
      <c r="Q158" s="1206"/>
      <c r="R158" s="1204" t="str">
        <f>IF(NOT(ISNUMBER(I158)),"",IF(R154&lt;=YEAR(I158)+18,VLOOKUP(TaxAB!D13+3,TaxAB!D27:J331,5,FALSE),""))</f>
        <v/>
      </c>
      <c r="S158" s="1205"/>
      <c r="T158" s="1206"/>
      <c r="U158" s="1204" t="str">
        <f>IF(NOT(ISNUMBER(I158)),"",IF(U154&lt;=YEAR(I158)+18,VLOOKUP(TaxAB!D13+3,TaxAB!D27:J331,6,FALSE),""))</f>
        <v/>
      </c>
      <c r="V158" s="1262"/>
      <c r="W158" s="1263"/>
      <c r="X158" s="1204" t="str">
        <f>IF(NOT(ISNUMBER(I158)),"",IF(X154&lt;=YEAR(I158)+18,VLOOKUP(TaxAB!D13+3,TaxAB!D27:J331,7,FALSE),""))</f>
        <v/>
      </c>
      <c r="Y158" s="1205"/>
      <c r="Z158" s="1206"/>
      <c r="AA158" s="747"/>
      <c r="AB158" s="590"/>
      <c r="AC158" s="590"/>
      <c r="AD158" s="203"/>
      <c r="AE158" s="203"/>
      <c r="AF158" s="203"/>
      <c r="AG158" s="203"/>
      <c r="AH158" s="203"/>
      <c r="AI158" s="203"/>
      <c r="AJ158" s="203"/>
      <c r="AK158" s="206"/>
    </row>
    <row r="159" spans="1:37" x14ac:dyDescent="0.25">
      <c r="A159" s="573"/>
      <c r="B159" s="284"/>
      <c r="C159" s="573"/>
      <c r="D159" s="285"/>
      <c r="E159" s="927" t="str">
        <f>IF(AND(ISBLANK(F22),ISNUMBER(I159),I159=MIN(I155:I160)),"Oldest Child",IF(AND(ISBLANK(F22),ISNUMBER(I159),I159=MAX(I155:I160)),"Youngest Child",IF(AND(ISBLANK(F22),ISNUMBER(I159)),"Child 5",IF(NOT(ISBLANK(F22)),F22,""))))</f>
        <v/>
      </c>
      <c r="F159" s="928"/>
      <c r="G159" s="928"/>
      <c r="H159" s="928"/>
      <c r="I159" s="1207" t="str">
        <f t="shared" si="0"/>
        <v/>
      </c>
      <c r="J159" s="928"/>
      <c r="K159" s="928"/>
      <c r="L159" s="1204" t="str">
        <f>IF(NOT(ISNUMBER(I159)),"",IF(L154&lt;=YEAR(I159)+18,VLOOKUP(TaxAB!D13+4,TaxAB!D27:J331,3,FALSE),""))</f>
        <v/>
      </c>
      <c r="M159" s="1205"/>
      <c r="N159" s="1206"/>
      <c r="O159" s="1204" t="str">
        <f>IF(NOT(ISNUMBER(I159)),"",IF(O154&lt;=YEAR(I159)+18,VLOOKUP(TaxAB!D13+4,TaxAB!D27:J331,4,FALSE),""))</f>
        <v/>
      </c>
      <c r="P159" s="1205"/>
      <c r="Q159" s="1206"/>
      <c r="R159" s="1204" t="str">
        <f>IF(NOT(ISNUMBER(I159)),"",IF(R154&lt;=YEAR(I159)+18,VLOOKUP(TaxAB!D13+4,TaxAB!D27:J331,5,FALSE),""))</f>
        <v/>
      </c>
      <c r="S159" s="1205"/>
      <c r="T159" s="1206"/>
      <c r="U159" s="1204" t="str">
        <f>IF(NOT(ISNUMBER(I159)),"",IF(U154&lt;=YEAR(I159)+18,VLOOKUP(TaxAB!D13+4,TaxAB!D27:J331,6,FALSE),""))</f>
        <v/>
      </c>
      <c r="V159" s="1262"/>
      <c r="W159" s="1263"/>
      <c r="X159" s="1204" t="str">
        <f>IF(NOT(ISNUMBER(I159)),"",IF(X154&lt;=YEAR(I159)+18,VLOOKUP(TaxAB!D13+4,TaxAB!D27:J331,7,FALSE),""))</f>
        <v/>
      </c>
      <c r="Y159" s="1205"/>
      <c r="Z159" s="1206"/>
      <c r="AA159" s="747"/>
      <c r="AB159" s="590"/>
      <c r="AC159" s="590"/>
      <c r="AD159" s="203"/>
      <c r="AE159" s="203"/>
      <c r="AF159" s="203"/>
      <c r="AG159" s="203"/>
      <c r="AH159" s="203"/>
      <c r="AI159" s="203"/>
      <c r="AJ159" s="203"/>
      <c r="AK159" s="206"/>
    </row>
    <row r="160" spans="1:37" x14ac:dyDescent="0.25">
      <c r="A160" s="573"/>
      <c r="B160" s="290" t="s">
        <v>148</v>
      </c>
      <c r="C160" s="291" t="s">
        <v>149</v>
      </c>
      <c r="D160" s="285"/>
      <c r="E160" s="927" t="str">
        <f>IF(AND(ISBLANK(F23),ISNUMBER(I160),I160=MIN(I155:I160)),"Oldest Child",IF(AND(ISBLANK(F23),ISNUMBER(I160),I160=MAX(I155:I160)),"Youngest Child",IF(AND(ISBLANK(F23),ISNUMBER(I160)),"Child 6",IF(NOT(ISBLANK(F23)),F23,""))))</f>
        <v/>
      </c>
      <c r="F160" s="928"/>
      <c r="G160" s="928"/>
      <c r="H160" s="928"/>
      <c r="I160" s="1207" t="str">
        <f t="shared" si="0"/>
        <v/>
      </c>
      <c r="J160" s="928"/>
      <c r="K160" s="928"/>
      <c r="L160" s="1204" t="str">
        <f>IF(NOT(ISNUMBER(I160)),"",IF(L154&lt;=YEAR(I160)+18,VLOOKUP(TaxAB!D13+5,TaxAB!D27:J331,3,FALSE),""))</f>
        <v/>
      </c>
      <c r="M160" s="1205"/>
      <c r="N160" s="1206"/>
      <c r="O160" s="1204" t="str">
        <f>IF(NOT(ISNUMBER(I160)),"",IF(O154&lt;=YEAR(I160)+18,VLOOKUP(TaxAB!D13+5,TaxAB!D27:J331,4,FALSE),""))</f>
        <v/>
      </c>
      <c r="P160" s="1205"/>
      <c r="Q160" s="1206"/>
      <c r="R160" s="1204" t="str">
        <f>IF(NOT(ISNUMBER(I160)),"",IF(R154&lt;=YEAR(I160)+18,VLOOKUP(TaxAB!D13+5,TaxAB!D27:J331,5,FALSE),""))</f>
        <v/>
      </c>
      <c r="S160" s="1205"/>
      <c r="T160" s="1206"/>
      <c r="U160" s="1204" t="str">
        <f>IF(NOT(ISNUMBER(I160)),"",IF(U154&lt;=YEAR(I160)+18,VLOOKUP(TaxAB!D13+5,TaxAB!D27:J331,6,FALSE),""))</f>
        <v/>
      </c>
      <c r="V160" s="1205"/>
      <c r="W160" s="1206"/>
      <c r="X160" s="1204" t="str">
        <f>IF(NOT(ISNUMBER(I160)),"",IF(X154&lt;=YEAR(I160)+18,VLOOKUP(TaxAB!D13+5,TaxAB!D27:J331,7,FALSE),""))</f>
        <v/>
      </c>
      <c r="Y160" s="1205"/>
      <c r="Z160" s="1206"/>
      <c r="AA160" s="747"/>
      <c r="AB160" s="590"/>
      <c r="AC160" s="590"/>
      <c r="AD160" s="203"/>
      <c r="AE160" s="203"/>
      <c r="AF160" s="203"/>
      <c r="AG160" s="203"/>
      <c r="AH160" s="203"/>
      <c r="AI160" s="203"/>
      <c r="AJ160" s="203"/>
      <c r="AK160" s="761"/>
    </row>
    <row r="161" spans="1:37" x14ac:dyDescent="0.25">
      <c r="A161" s="573"/>
      <c r="B161" s="290">
        <f>COUNTIF(L155:Z160,"Father")</f>
        <v>0</v>
      </c>
      <c r="C161" s="292" t="b">
        <f>IF(ISNUMBER(U71),ROUND(B163*U71,0))</f>
        <v>0</v>
      </c>
      <c r="D161" s="693"/>
      <c r="E161" s="762" t="str">
        <f>IF(OR(C161=B161,C161=B162,NOT(ISNUMBER(U71))),"",IF(NOT(ISBLANK(L151)),"Deduction(s) deleted for older child(ren) after age 18.","Deduction(s) deleted for older child(ren) after age 18.  You may wish to customize:"))</f>
        <v/>
      </c>
      <c r="F161" s="763"/>
      <c r="G161" s="763"/>
      <c r="H161" s="763"/>
      <c r="I161" s="763"/>
      <c r="J161" s="763"/>
      <c r="K161" s="763"/>
      <c r="L161" s="763"/>
      <c r="M161" s="763"/>
      <c r="N161" s="763"/>
      <c r="O161" s="763"/>
      <c r="P161" s="763"/>
      <c r="Q161" s="763"/>
      <c r="R161" s="763"/>
      <c r="S161" s="763"/>
      <c r="T161" s="763"/>
      <c r="U161" s="763"/>
      <c r="V161" s="763"/>
      <c r="W161" s="763"/>
      <c r="X161" s="763"/>
      <c r="Y161" s="763"/>
      <c r="Z161" s="763"/>
      <c r="AA161" s="83"/>
      <c r="AB161" s="590"/>
      <c r="AC161" s="590"/>
      <c r="AD161" s="203"/>
      <c r="AE161" s="203"/>
      <c r="AF161" s="203"/>
      <c r="AG161" s="203"/>
      <c r="AH161" s="203"/>
      <c r="AI161" s="203"/>
      <c r="AJ161" s="203"/>
      <c r="AK161" s="761"/>
    </row>
    <row r="162" spans="1:37" x14ac:dyDescent="0.25">
      <c r="A162" s="573"/>
      <c r="B162" s="290">
        <f>COUNTIF(L155:Z160,"Mother")</f>
        <v>0</v>
      </c>
      <c r="C162" s="292" t="b">
        <f>IF(ISNUMBER(Y71),ROUND(B163*Y71,0))</f>
        <v>0</v>
      </c>
      <c r="D162" s="693"/>
      <c r="E162" s="265"/>
      <c r="F162" s="287" t="str">
        <f>IF(OR(C161=B161,C161=B162,NOT(ISNUMBER(U71))),"","Father is allocated "&amp;B161&amp;" deduction(s) and he should presumptively have "&amp;C161&amp;" deduction(s).")</f>
        <v/>
      </c>
      <c r="G162" s="265"/>
      <c r="H162" s="265"/>
      <c r="I162" s="265"/>
      <c r="J162" s="265"/>
      <c r="K162" s="265"/>
      <c r="L162" s="265"/>
      <c r="M162" s="265"/>
      <c r="N162" s="265"/>
      <c r="O162" s="265"/>
      <c r="P162" s="265"/>
      <c r="Q162" s="265"/>
      <c r="R162" s="265"/>
      <c r="S162" s="265"/>
      <c r="T162" s="265"/>
      <c r="U162" s="265"/>
      <c r="V162" s="265"/>
      <c r="W162" s="265"/>
      <c r="X162" s="265"/>
      <c r="Y162" s="265"/>
      <c r="Z162" s="265"/>
      <c r="AA162" s="83"/>
      <c r="AB162" s="590"/>
      <c r="AC162" s="590"/>
      <c r="AD162" s="203"/>
      <c r="AE162" s="203"/>
      <c r="AF162" s="203"/>
      <c r="AG162" s="203"/>
      <c r="AH162" s="203"/>
      <c r="AI162" s="203"/>
      <c r="AJ162" s="203"/>
      <c r="AK162" s="761"/>
    </row>
    <row r="163" spans="1:37" x14ac:dyDescent="0.25">
      <c r="A163" s="573"/>
      <c r="B163" s="290">
        <f>B161+B162</f>
        <v>0</v>
      </c>
      <c r="C163" s="291">
        <f>C161+C162</f>
        <v>0</v>
      </c>
      <c r="D163" s="693"/>
      <c r="E163" s="265"/>
      <c r="F163" s="287" t="str">
        <f>IF(OR(C161=B161,C161=B162,NOT(ISNUMBER(U71))),"","Mother is allocated "&amp;B162&amp;" deduction(s) and she should presumptively have "&amp;C162&amp;" deduction(s).")</f>
        <v/>
      </c>
      <c r="G163" s="265"/>
      <c r="H163" s="265"/>
      <c r="I163" s="265"/>
      <c r="J163" s="265"/>
      <c r="K163" s="265"/>
      <c r="L163" s="265"/>
      <c r="M163" s="265"/>
      <c r="N163" s="265"/>
      <c r="O163" s="265"/>
      <c r="P163" s="265"/>
      <c r="Q163" s="265"/>
      <c r="R163" s="265"/>
      <c r="S163" s="265"/>
      <c r="T163" s="265"/>
      <c r="U163" s="265"/>
      <c r="V163" s="265"/>
      <c r="W163" s="265"/>
      <c r="X163" s="265"/>
      <c r="Y163" s="265"/>
      <c r="Z163" s="265"/>
      <c r="AA163" s="83"/>
      <c r="AB163" s="590"/>
      <c r="AC163" s="590"/>
      <c r="AD163" s="203"/>
      <c r="AE163" s="203"/>
      <c r="AF163" s="203"/>
      <c r="AG163" s="203"/>
      <c r="AH163" s="203"/>
      <c r="AI163" s="203"/>
      <c r="AJ163" s="203"/>
      <c r="AK163" s="761"/>
    </row>
    <row r="164" spans="1:37" x14ac:dyDescent="0.25">
      <c r="A164" s="573"/>
      <c r="B164" s="312"/>
      <c r="C164" s="693"/>
      <c r="D164" s="693"/>
      <c r="E164" s="1272" t="s">
        <v>150</v>
      </c>
      <c r="F164" s="1273"/>
      <c r="G164" s="1273"/>
      <c r="H164" s="1209"/>
      <c r="I164" s="1210" t="s">
        <v>19</v>
      </c>
      <c r="J164" s="1211"/>
      <c r="K164" s="1212"/>
      <c r="L164" s="1216" t="s">
        <v>151</v>
      </c>
      <c r="M164" s="1217"/>
      <c r="N164" s="1217"/>
      <c r="O164" s="1217"/>
      <c r="P164" s="1217"/>
      <c r="Q164" s="1218"/>
      <c r="R164" s="1218"/>
      <c r="S164" s="1218"/>
      <c r="T164" s="1218"/>
      <c r="U164" s="1218"/>
      <c r="V164" s="1218"/>
      <c r="W164" s="1218"/>
      <c r="X164" s="1218"/>
      <c r="Y164" s="934"/>
      <c r="Z164" s="935"/>
      <c r="AA164" s="83"/>
      <c r="AB164" s="590"/>
      <c r="AC164" s="590"/>
      <c r="AD164" s="203"/>
      <c r="AE164" s="203"/>
      <c r="AF164" s="203"/>
      <c r="AG164" s="203"/>
      <c r="AH164" s="203"/>
      <c r="AI164" s="203"/>
      <c r="AJ164" s="203"/>
      <c r="AK164" s="761"/>
    </row>
    <row r="165" spans="1:37" x14ac:dyDescent="0.25">
      <c r="A165" s="573"/>
      <c r="B165" s="312"/>
      <c r="C165" s="693"/>
      <c r="D165" s="693"/>
      <c r="E165" s="1273"/>
      <c r="F165" s="1273"/>
      <c r="G165" s="1273"/>
      <c r="H165" s="1209"/>
      <c r="I165" s="1213"/>
      <c r="J165" s="1214"/>
      <c r="K165" s="1215"/>
      <c r="L165" s="1271">
        <f ca="1">YEAR(TODAY())</f>
        <v>2022</v>
      </c>
      <c r="M165" s="1209"/>
      <c r="N165" s="1209"/>
      <c r="O165" s="1208">
        <f ca="1">L165+1</f>
        <v>2023</v>
      </c>
      <c r="P165" s="1209"/>
      <c r="Q165" s="1209"/>
      <c r="R165" s="1208">
        <f ca="1">O165+1</f>
        <v>2024</v>
      </c>
      <c r="S165" s="1209"/>
      <c r="T165" s="1209"/>
      <c r="U165" s="1208">
        <f ca="1">R165+1</f>
        <v>2025</v>
      </c>
      <c r="V165" s="1209"/>
      <c r="W165" s="1209"/>
      <c r="X165" s="1208">
        <f ca="1">U165+1</f>
        <v>2026</v>
      </c>
      <c r="Y165" s="1209"/>
      <c r="Z165" s="1209"/>
      <c r="AA165" s="83"/>
      <c r="AB165" s="590"/>
      <c r="AC165" s="590"/>
      <c r="AD165" s="203"/>
      <c r="AE165" s="203"/>
      <c r="AF165" s="203"/>
      <c r="AG165" s="203"/>
      <c r="AH165" s="203"/>
      <c r="AI165" s="203"/>
      <c r="AJ165" s="203"/>
      <c r="AK165" s="761"/>
    </row>
    <row r="166" spans="1:37" x14ac:dyDescent="0.25">
      <c r="A166" s="573"/>
      <c r="B166" s="312"/>
      <c r="C166" s="693"/>
      <c r="D166" s="628"/>
      <c r="E166" s="927" t="str">
        <f t="shared" ref="E166:E171" si="1">E155</f>
        <v/>
      </c>
      <c r="F166" s="928"/>
      <c r="G166" s="928"/>
      <c r="H166" s="928"/>
      <c r="I166" s="933" t="str">
        <f ca="1">IF(ISNUMBER(I155),(TODAY()-I155)/365.25,IF(ISNUMBER(P44),P44,""))</f>
        <v/>
      </c>
      <c r="J166" s="934"/>
      <c r="K166" s="935"/>
      <c r="L166" s="929"/>
      <c r="M166" s="930"/>
      <c r="N166" s="931"/>
      <c r="O166" s="929"/>
      <c r="P166" s="930"/>
      <c r="Q166" s="931"/>
      <c r="R166" s="929"/>
      <c r="S166" s="930"/>
      <c r="T166" s="931"/>
      <c r="U166" s="929"/>
      <c r="V166" s="930"/>
      <c r="W166" s="931"/>
      <c r="X166" s="929"/>
      <c r="Y166" s="930"/>
      <c r="Z166" s="931"/>
      <c r="AA166" s="83"/>
      <c r="AB166" s="590"/>
      <c r="AC166" s="590"/>
      <c r="AD166" s="203"/>
      <c r="AE166" s="203"/>
      <c r="AF166" s="203"/>
      <c r="AG166" s="203"/>
      <c r="AH166" s="203"/>
      <c r="AI166" s="203"/>
      <c r="AJ166" s="203"/>
      <c r="AK166" s="761"/>
    </row>
    <row r="167" spans="1:37" x14ac:dyDescent="0.25">
      <c r="A167" s="573"/>
      <c r="B167" s="312"/>
      <c r="C167" s="693"/>
      <c r="D167" s="288"/>
      <c r="E167" s="927" t="str">
        <f t="shared" si="1"/>
        <v/>
      </c>
      <c r="F167" s="928"/>
      <c r="G167" s="928"/>
      <c r="H167" s="928"/>
      <c r="I167" s="933" t="str">
        <f ca="1">IF(ISNUMBER(I156),(TODAY()-I156)/365.25,IF(ISNUMBER(R44),R44,""))</f>
        <v/>
      </c>
      <c r="J167" s="934"/>
      <c r="K167" s="935"/>
      <c r="L167" s="929"/>
      <c r="M167" s="930"/>
      <c r="N167" s="931"/>
      <c r="O167" s="929"/>
      <c r="P167" s="930"/>
      <c r="Q167" s="931"/>
      <c r="R167" s="929"/>
      <c r="S167" s="930"/>
      <c r="T167" s="931"/>
      <c r="U167" s="929"/>
      <c r="V167" s="930"/>
      <c r="W167" s="931"/>
      <c r="X167" s="929"/>
      <c r="Y167" s="930"/>
      <c r="Z167" s="931"/>
      <c r="AA167" s="83"/>
      <c r="AB167" s="590"/>
      <c r="AC167" s="590"/>
      <c r="AD167" s="203"/>
      <c r="AE167" s="203"/>
      <c r="AF167" s="203"/>
      <c r="AG167" s="203"/>
      <c r="AH167" s="203"/>
      <c r="AI167" s="203"/>
      <c r="AJ167" s="203"/>
      <c r="AK167" s="761"/>
    </row>
    <row r="168" spans="1:37" x14ac:dyDescent="0.25">
      <c r="A168" s="573"/>
      <c r="B168" s="897"/>
      <c r="C168" s="947"/>
      <c r="D168" s="646"/>
      <c r="E168" s="927" t="str">
        <f t="shared" si="1"/>
        <v/>
      </c>
      <c r="F168" s="928"/>
      <c r="G168" s="928"/>
      <c r="H168" s="928"/>
      <c r="I168" s="933" t="str">
        <f ca="1">IF(ISNUMBER(I157),(TODAY()-I157)/365.25,IF(ISNUMBER(T44),T44,""))</f>
        <v/>
      </c>
      <c r="J168" s="934"/>
      <c r="K168" s="935"/>
      <c r="L168" s="929"/>
      <c r="M168" s="930"/>
      <c r="N168" s="931"/>
      <c r="O168" s="929"/>
      <c r="P168" s="930"/>
      <c r="Q168" s="931"/>
      <c r="R168" s="929"/>
      <c r="S168" s="930"/>
      <c r="T168" s="931"/>
      <c r="U168" s="929"/>
      <c r="V168" s="930"/>
      <c r="W168" s="931"/>
      <c r="X168" s="929"/>
      <c r="Y168" s="930"/>
      <c r="Z168" s="931"/>
      <c r="AA168" s="83"/>
      <c r="AB168" s="590"/>
      <c r="AC168" s="590"/>
      <c r="AD168" s="203"/>
      <c r="AE168" s="203"/>
      <c r="AF168" s="203"/>
      <c r="AG168" s="203"/>
      <c r="AH168" s="203"/>
      <c r="AI168" s="203"/>
      <c r="AJ168" s="203"/>
      <c r="AK168" s="761"/>
    </row>
    <row r="169" spans="1:37" x14ac:dyDescent="0.25">
      <c r="A169" s="573"/>
      <c r="B169" s="312"/>
      <c r="C169" s="693"/>
      <c r="D169" s="693"/>
      <c r="E169" s="927" t="str">
        <f t="shared" si="1"/>
        <v/>
      </c>
      <c r="F169" s="928"/>
      <c r="G169" s="928"/>
      <c r="H169" s="928"/>
      <c r="I169" s="933" t="str">
        <f ca="1">IF(ISNUMBER(I158),(TODAY()-I158)/365.25,IF(ISNUMBER(V44),V44,""))</f>
        <v/>
      </c>
      <c r="J169" s="934"/>
      <c r="K169" s="935"/>
      <c r="L169" s="929"/>
      <c r="M169" s="930"/>
      <c r="N169" s="931"/>
      <c r="O169" s="929"/>
      <c r="P169" s="930"/>
      <c r="Q169" s="931"/>
      <c r="R169" s="929"/>
      <c r="S169" s="930"/>
      <c r="T169" s="931"/>
      <c r="U169" s="929"/>
      <c r="V169" s="930"/>
      <c r="W169" s="931"/>
      <c r="X169" s="929"/>
      <c r="Y169" s="930"/>
      <c r="Z169" s="931"/>
      <c r="AA169" s="83"/>
      <c r="AB169" s="590"/>
      <c r="AC169" s="590"/>
      <c r="AD169" s="203"/>
      <c r="AE169" s="203"/>
      <c r="AF169" s="203"/>
      <c r="AG169" s="203"/>
      <c r="AH169" s="203"/>
      <c r="AI169" s="203"/>
      <c r="AJ169" s="203"/>
      <c r="AK169" s="761"/>
    </row>
    <row r="170" spans="1:37" x14ac:dyDescent="0.25">
      <c r="A170" s="573"/>
      <c r="B170" s="82"/>
      <c r="C170" s="265"/>
      <c r="D170" s="693"/>
      <c r="E170" s="927" t="str">
        <f t="shared" si="1"/>
        <v/>
      </c>
      <c r="F170" s="928"/>
      <c r="G170" s="928"/>
      <c r="H170" s="928"/>
      <c r="I170" s="933" t="str">
        <f ca="1">IF(ISNUMBER(I159),(TODAY()-I159)/365.25,IF(ISNUMBER(X44),X44,""))</f>
        <v/>
      </c>
      <c r="J170" s="934"/>
      <c r="K170" s="935"/>
      <c r="L170" s="929"/>
      <c r="M170" s="930"/>
      <c r="N170" s="931"/>
      <c r="O170" s="929"/>
      <c r="P170" s="930"/>
      <c r="Q170" s="931"/>
      <c r="R170" s="929"/>
      <c r="S170" s="930"/>
      <c r="T170" s="931"/>
      <c r="U170" s="929"/>
      <c r="V170" s="930"/>
      <c r="W170" s="931"/>
      <c r="X170" s="929"/>
      <c r="Y170" s="930"/>
      <c r="Z170" s="931"/>
      <c r="AA170" s="83"/>
      <c r="AB170" s="590"/>
      <c r="AC170" s="590"/>
      <c r="AD170" s="203"/>
      <c r="AE170" s="203"/>
      <c r="AF170" s="203"/>
      <c r="AG170" s="203"/>
      <c r="AH170" s="203"/>
      <c r="AI170" s="203"/>
      <c r="AJ170" s="203"/>
      <c r="AK170" s="761"/>
    </row>
    <row r="171" spans="1:37" x14ac:dyDescent="0.25">
      <c r="A171" s="573"/>
      <c r="B171" s="82"/>
      <c r="C171" s="693"/>
      <c r="D171" s="693"/>
      <c r="E171" s="927" t="str">
        <f t="shared" si="1"/>
        <v/>
      </c>
      <c r="F171" s="928"/>
      <c r="G171" s="928"/>
      <c r="H171" s="928"/>
      <c r="I171" s="933" t="str">
        <f ca="1">IF(ISNUMBER(I160),(TODAY()-I160)/365.25,IF(ISNUMBER(Z44),Z44,""))</f>
        <v/>
      </c>
      <c r="J171" s="934"/>
      <c r="K171" s="935"/>
      <c r="L171" s="929"/>
      <c r="M171" s="930"/>
      <c r="N171" s="931"/>
      <c r="O171" s="932"/>
      <c r="P171" s="930"/>
      <c r="Q171" s="931"/>
      <c r="R171" s="932"/>
      <c r="S171" s="930"/>
      <c r="T171" s="931"/>
      <c r="U171" s="932"/>
      <c r="V171" s="930"/>
      <c r="W171" s="931"/>
      <c r="X171" s="929"/>
      <c r="Y171" s="930"/>
      <c r="Z171" s="931"/>
      <c r="AA171" s="83"/>
      <c r="AB171" s="590"/>
      <c r="AC171" s="590"/>
      <c r="AD171" s="203"/>
      <c r="AE171" s="203"/>
      <c r="AF171" s="203"/>
      <c r="AG171" s="203"/>
      <c r="AH171" s="203"/>
      <c r="AI171" s="203"/>
      <c r="AJ171" s="203"/>
      <c r="AK171" s="761"/>
    </row>
    <row r="172" spans="1:37" ht="12.75" customHeight="1" x14ac:dyDescent="0.25">
      <c r="A172" s="573"/>
      <c r="B172" s="84"/>
      <c r="C172" s="85"/>
      <c r="D172" s="85"/>
      <c r="E172" s="635"/>
      <c r="F172" s="635"/>
      <c r="G172" s="635"/>
      <c r="H172" s="635"/>
      <c r="I172" s="97"/>
      <c r="J172" s="97"/>
      <c r="K172" s="97"/>
      <c r="L172" s="97"/>
      <c r="M172" s="97"/>
      <c r="N172" s="97"/>
      <c r="O172" s="97"/>
      <c r="P172" s="97"/>
      <c r="Q172" s="97"/>
      <c r="R172" s="97"/>
      <c r="S172" s="97"/>
      <c r="T172" s="97"/>
      <c r="U172" s="97"/>
      <c r="V172" s="97"/>
      <c r="W172" s="97"/>
      <c r="X172" s="97"/>
      <c r="Y172" s="97"/>
      <c r="Z172" s="97"/>
      <c r="AA172" s="86"/>
      <c r="AB172" s="590"/>
      <c r="AC172" s="590"/>
      <c r="AD172" s="203"/>
      <c r="AE172" s="203"/>
      <c r="AF172" s="203"/>
      <c r="AG172" s="203"/>
      <c r="AH172" s="203"/>
      <c r="AI172" s="203"/>
      <c r="AJ172" s="203"/>
      <c r="AK172" s="761"/>
    </row>
    <row r="173" spans="1:37" ht="12.75" customHeight="1" x14ac:dyDescent="0.25">
      <c r="A173" s="573"/>
      <c r="B173" s="82"/>
      <c r="C173" s="693"/>
      <c r="D173" s="693"/>
      <c r="E173" s="95"/>
      <c r="F173" s="95"/>
      <c r="G173" s="95"/>
      <c r="H173" s="95"/>
      <c r="I173" s="96"/>
      <c r="J173" s="96"/>
      <c r="K173" s="96"/>
      <c r="L173" s="96"/>
      <c r="M173" s="96"/>
      <c r="N173" s="96"/>
      <c r="O173" s="96"/>
      <c r="P173" s="96"/>
      <c r="Q173" s="96"/>
      <c r="R173" s="96"/>
      <c r="S173" s="96"/>
      <c r="T173" s="96"/>
      <c r="U173" s="96"/>
      <c r="V173" s="96"/>
      <c r="W173" s="96"/>
      <c r="X173" s="96"/>
      <c r="Y173" s="96"/>
      <c r="Z173" s="96"/>
      <c r="AA173" s="83"/>
      <c r="AB173" s="590"/>
      <c r="AC173" s="590"/>
      <c r="AD173" s="203"/>
      <c r="AE173" s="203"/>
      <c r="AF173" s="203"/>
      <c r="AG173" s="203"/>
      <c r="AH173" s="203"/>
      <c r="AI173" s="203"/>
      <c r="AJ173" s="203"/>
      <c r="AK173" s="761"/>
    </row>
    <row r="174" spans="1:37" ht="20.25" customHeight="1" x14ac:dyDescent="0.25">
      <c r="A174" s="573"/>
      <c r="B174" s="606" t="s">
        <v>152</v>
      </c>
      <c r="C174" s="693"/>
      <c r="D174" s="693"/>
      <c r="E174" s="98"/>
      <c r="F174" s="98"/>
      <c r="G174" s="98"/>
      <c r="H174" s="98"/>
      <c r="I174" s="98"/>
      <c r="J174" s="764"/>
      <c r="K174" s="764"/>
      <c r="L174" s="764"/>
      <c r="M174" s="764"/>
      <c r="N174" s="764"/>
      <c r="O174" s="764"/>
      <c r="P174" s="764"/>
      <c r="Q174" s="764"/>
      <c r="R174" s="764"/>
      <c r="S174" s="764"/>
      <c r="T174" s="764"/>
      <c r="U174" s="765"/>
      <c r="V174" s="765"/>
      <c r="W174" s="765"/>
      <c r="X174" s="765"/>
      <c r="Y174" s="765"/>
      <c r="Z174" s="765"/>
      <c r="AA174" s="83"/>
      <c r="AB174" s="590"/>
      <c r="AC174" s="590"/>
      <c r="AD174" s="203"/>
      <c r="AE174" s="203"/>
      <c r="AF174" s="203"/>
      <c r="AG174" s="203"/>
      <c r="AH174" s="203"/>
      <c r="AI174" s="203"/>
      <c r="AJ174" s="203"/>
      <c r="AK174" s="761"/>
    </row>
    <row r="175" spans="1:37" ht="69.75" customHeight="1" x14ac:dyDescent="0.25">
      <c r="A175" s="573"/>
      <c r="B175" s="82"/>
      <c r="C175" s="693"/>
      <c r="D175" s="693"/>
      <c r="E175" s="936" t="s">
        <v>153</v>
      </c>
      <c r="F175" s="937"/>
      <c r="G175" s="937"/>
      <c r="H175" s="937"/>
      <c r="I175" s="937"/>
      <c r="J175" s="937"/>
      <c r="K175" s="937"/>
      <c r="L175" s="937"/>
      <c r="M175" s="937"/>
      <c r="N175" s="937"/>
      <c r="O175" s="937"/>
      <c r="P175" s="937"/>
      <c r="Q175" s="937"/>
      <c r="R175" s="937"/>
      <c r="S175" s="937"/>
      <c r="T175" s="937"/>
      <c r="U175" s="937"/>
      <c r="V175" s="937"/>
      <c r="W175" s="937"/>
      <c r="X175" s="937"/>
      <c r="Y175" s="937"/>
      <c r="Z175" s="938"/>
      <c r="AA175" s="83"/>
      <c r="AB175" s="590"/>
      <c r="AC175" s="590"/>
      <c r="AD175" s="203"/>
      <c r="AE175" s="203"/>
      <c r="AF175" s="203"/>
      <c r="AG175" s="203"/>
      <c r="AH175" s="203"/>
      <c r="AI175" s="203"/>
      <c r="AJ175" s="203"/>
      <c r="AK175" s="761"/>
    </row>
    <row r="176" spans="1:37" ht="30" customHeight="1" x14ac:dyDescent="0.25">
      <c r="A176" s="573"/>
      <c r="B176" s="606" t="s">
        <v>154</v>
      </c>
      <c r="C176" s="693"/>
      <c r="D176" s="693"/>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399"/>
      <c r="AB176" s="590"/>
      <c r="AC176" s="590"/>
      <c r="AD176" s="203"/>
      <c r="AE176" s="203"/>
      <c r="AF176" s="203"/>
      <c r="AG176" s="203"/>
      <c r="AH176" s="203"/>
      <c r="AI176" s="203"/>
      <c r="AJ176" s="203"/>
      <c r="AK176" s="761"/>
    </row>
    <row r="177" spans="1:37" ht="12.75" customHeight="1" x14ac:dyDescent="0.25">
      <c r="A177" s="573"/>
      <c r="B177" s="82"/>
      <c r="C177" s="693"/>
      <c r="D177" s="693"/>
      <c r="E177" s="165"/>
      <c r="F177" s="609" t="s">
        <v>155</v>
      </c>
      <c r="G177" s="642"/>
      <c r="H177" s="642"/>
      <c r="I177" s="165"/>
      <c r="J177" s="75" t="s">
        <v>156</v>
      </c>
      <c r="K177" s="128"/>
      <c r="L177" s="128"/>
      <c r="M177" s="128"/>
      <c r="N177" s="128"/>
      <c r="O177" s="128"/>
      <c r="P177" s="128"/>
      <c r="Q177" s="128"/>
      <c r="R177" s="128"/>
      <c r="S177" s="128"/>
      <c r="T177" s="128"/>
      <c r="U177" s="128"/>
      <c r="V177" s="128"/>
      <c r="W177" s="128"/>
      <c r="X177" s="128"/>
      <c r="Y177" s="128"/>
      <c r="Z177" s="128"/>
      <c r="AA177" s="399"/>
      <c r="AB177" s="590"/>
      <c r="AC177" s="590"/>
      <c r="AD177" s="203"/>
      <c r="AE177" s="203"/>
      <c r="AF177" s="203"/>
      <c r="AG177" s="203"/>
      <c r="AH177" s="203"/>
      <c r="AI177" s="203"/>
      <c r="AJ177" s="203"/>
      <c r="AK177" s="761"/>
    </row>
    <row r="178" spans="1:37" ht="12.75" customHeight="1" x14ac:dyDescent="0.25">
      <c r="A178" s="573"/>
      <c r="B178" s="82"/>
      <c r="C178" s="693"/>
      <c r="D178" s="693"/>
      <c r="E178" s="128"/>
      <c r="F178" s="128"/>
      <c r="G178" s="128"/>
      <c r="H178" s="128"/>
      <c r="I178" s="128"/>
      <c r="J178" s="128"/>
      <c r="K178" s="128"/>
      <c r="L178" s="128"/>
      <c r="M178" s="128"/>
      <c r="N178" s="128"/>
      <c r="O178" s="128"/>
      <c r="P178" s="128"/>
      <c r="Q178" s="128"/>
      <c r="R178" s="735"/>
      <c r="S178" s="128"/>
      <c r="T178" s="128"/>
      <c r="U178" s="128"/>
      <c r="V178" s="735"/>
      <c r="W178" s="128"/>
      <c r="X178" s="128"/>
      <c r="Y178" s="128"/>
      <c r="Z178" s="128"/>
      <c r="AA178" s="399"/>
      <c r="AB178" s="590"/>
      <c r="AC178" s="590"/>
      <c r="AD178" s="203"/>
      <c r="AE178" s="203"/>
      <c r="AF178" s="203"/>
      <c r="AG178" s="203"/>
      <c r="AH178" s="203"/>
      <c r="AI178" s="203"/>
      <c r="AJ178" s="203"/>
      <c r="AK178" s="761"/>
    </row>
    <row r="179" spans="1:37" ht="12.75" customHeight="1" x14ac:dyDescent="0.25">
      <c r="A179" s="573"/>
      <c r="B179" s="312" t="s">
        <v>157</v>
      </c>
      <c r="C179" s="693"/>
      <c r="D179" s="693"/>
      <c r="E179" s="96"/>
      <c r="F179" s="96"/>
      <c r="G179" s="96"/>
      <c r="H179" s="96"/>
      <c r="I179" s="735"/>
      <c r="J179" s="944"/>
      <c r="K179" s="945"/>
      <c r="L179" s="945"/>
      <c r="M179" s="945"/>
      <c r="N179" s="945"/>
      <c r="O179" s="946"/>
      <c r="P179" s="96"/>
      <c r="Q179" s="96"/>
      <c r="R179" s="128"/>
      <c r="S179" s="128"/>
      <c r="T179" s="128"/>
      <c r="U179" s="128"/>
      <c r="V179" s="128"/>
      <c r="W179" s="96"/>
      <c r="X179" s="96"/>
      <c r="Y179" s="96"/>
      <c r="Z179" s="96"/>
      <c r="AA179" s="399"/>
      <c r="AB179" s="590"/>
      <c r="AC179" s="590"/>
      <c r="AD179" s="203"/>
      <c r="AE179" s="203"/>
      <c r="AF179" s="203"/>
      <c r="AG179" s="203"/>
      <c r="AH179" s="203"/>
      <c r="AI179" s="203"/>
      <c r="AJ179" s="203"/>
      <c r="AK179" s="761"/>
    </row>
    <row r="180" spans="1:37" ht="12.75" customHeight="1" x14ac:dyDescent="0.25">
      <c r="A180" s="573"/>
      <c r="B180" s="312"/>
      <c r="C180" s="693"/>
      <c r="D180" s="693"/>
      <c r="E180" s="128"/>
      <c r="F180" s="128"/>
      <c r="G180" s="128"/>
      <c r="H180" s="128"/>
      <c r="I180" s="735"/>
      <c r="J180" s="591"/>
      <c r="K180" s="578"/>
      <c r="L180" s="578"/>
      <c r="M180" s="578"/>
      <c r="N180" s="578"/>
      <c r="O180" s="578"/>
      <c r="P180" s="128"/>
      <c r="Q180" s="128"/>
      <c r="R180" s="128"/>
      <c r="S180" s="128"/>
      <c r="T180" s="128"/>
      <c r="U180" s="128"/>
      <c r="V180" s="128"/>
      <c r="W180" s="128"/>
      <c r="X180" s="128"/>
      <c r="Y180" s="128"/>
      <c r="Z180" s="128"/>
      <c r="AA180" s="399"/>
      <c r="AB180" s="590"/>
      <c r="AC180" s="590"/>
      <c r="AD180" s="203"/>
      <c r="AE180" s="203"/>
      <c r="AF180" s="203"/>
      <c r="AG180" s="203"/>
      <c r="AH180" s="203"/>
      <c r="AI180" s="203"/>
      <c r="AJ180" s="203"/>
      <c r="AK180" s="761"/>
    </row>
    <row r="181" spans="1:37" ht="12.75" customHeight="1" x14ac:dyDescent="0.25">
      <c r="A181" s="573"/>
      <c r="B181" s="939" t="s">
        <v>158</v>
      </c>
      <c r="C181" s="940"/>
      <c r="D181" s="940"/>
      <c r="E181" s="940"/>
      <c r="F181" s="940"/>
      <c r="G181" s="940"/>
      <c r="H181" s="940"/>
      <c r="I181" s="940"/>
      <c r="J181" s="940"/>
      <c r="K181" s="940"/>
      <c r="L181" s="940"/>
      <c r="M181" s="940"/>
      <c r="N181" s="940"/>
      <c r="O181" s="940"/>
      <c r="P181" s="940"/>
      <c r="Q181" s="940"/>
      <c r="R181" s="940"/>
      <c r="S181" s="940"/>
      <c r="T181" s="940"/>
      <c r="U181" s="940"/>
      <c r="V181" s="940"/>
      <c r="W181" s="940"/>
      <c r="X181" s="940"/>
      <c r="Y181" s="940"/>
      <c r="Z181" s="737"/>
      <c r="AA181" s="577"/>
      <c r="AB181" s="590"/>
      <c r="AC181" s="590"/>
      <c r="AD181" s="203"/>
      <c r="AE181" s="203"/>
      <c r="AF181" s="203"/>
      <c r="AG181" s="203"/>
      <c r="AH181" s="203"/>
      <c r="AI181" s="203"/>
      <c r="AJ181" s="203"/>
      <c r="AK181" s="761"/>
    </row>
    <row r="182" spans="1:37" ht="6" customHeight="1" x14ac:dyDescent="0.25">
      <c r="A182" s="573"/>
      <c r="B182" s="658"/>
      <c r="C182" s="659"/>
      <c r="D182" s="659"/>
      <c r="E182" s="659"/>
      <c r="F182" s="659"/>
      <c r="G182" s="659"/>
      <c r="H182" s="659"/>
      <c r="I182" s="659"/>
      <c r="J182" s="659"/>
      <c r="K182" s="659"/>
      <c r="L182" s="659"/>
      <c r="M182" s="659"/>
      <c r="N182" s="659"/>
      <c r="O182" s="659"/>
      <c r="P182" s="659"/>
      <c r="Q182" s="659"/>
      <c r="R182" s="659"/>
      <c r="S182" s="659"/>
      <c r="T182" s="659"/>
      <c r="U182" s="659"/>
      <c r="V182" s="659"/>
      <c r="W182" s="659"/>
      <c r="X182" s="659"/>
      <c r="Y182" s="659"/>
      <c r="Z182" s="659"/>
      <c r="AA182" s="576"/>
      <c r="AB182" s="590"/>
      <c r="AC182" s="590"/>
      <c r="AD182" s="203"/>
      <c r="AE182" s="203"/>
      <c r="AF182" s="203"/>
      <c r="AG182" s="203"/>
      <c r="AH182" s="203"/>
      <c r="AI182" s="203"/>
      <c r="AJ182" s="203"/>
      <c r="AK182" s="761"/>
    </row>
    <row r="183" spans="1:37" ht="12.75" customHeight="1" x14ac:dyDescent="0.25">
      <c r="A183" s="573"/>
      <c r="B183" s="621" t="s">
        <v>159</v>
      </c>
      <c r="C183" s="693"/>
      <c r="D183" s="693"/>
      <c r="E183" s="206"/>
      <c r="F183" s="654"/>
      <c r="G183" s="128"/>
      <c r="H183" s="128"/>
      <c r="I183" s="735"/>
      <c r="J183" s="591"/>
      <c r="K183" s="578"/>
      <c r="L183" s="578"/>
      <c r="M183" s="578"/>
      <c r="N183" s="578"/>
      <c r="O183" s="578"/>
      <c r="P183" s="128"/>
      <c r="Q183" s="941" t="s">
        <v>160</v>
      </c>
      <c r="R183" s="942"/>
      <c r="S183" s="942"/>
      <c r="T183" s="942"/>
      <c r="U183" s="942"/>
      <c r="V183" s="942"/>
      <c r="W183" s="942"/>
      <c r="X183" s="942"/>
      <c r="Y183" s="943"/>
      <c r="Z183" s="96"/>
      <c r="AA183" s="399"/>
      <c r="AB183" s="590"/>
      <c r="AC183" s="590"/>
      <c r="AD183" s="203"/>
      <c r="AE183" s="203"/>
      <c r="AF183" s="203"/>
      <c r="AG183" s="203"/>
      <c r="AH183" s="203"/>
      <c r="AI183" s="203"/>
      <c r="AJ183" s="203"/>
      <c r="AK183" s="761"/>
    </row>
    <row r="184" spans="1:37" ht="12.75" customHeight="1" x14ac:dyDescent="0.25">
      <c r="A184" s="573"/>
      <c r="B184" s="621" t="s">
        <v>161</v>
      </c>
      <c r="C184" s="693"/>
      <c r="D184" s="693"/>
      <c r="E184" s="206"/>
      <c r="F184" s="654"/>
      <c r="G184" s="128"/>
      <c r="H184" s="128"/>
      <c r="I184" s="735"/>
      <c r="J184" s="591"/>
      <c r="K184" s="578"/>
      <c r="L184" s="578"/>
      <c r="M184" s="578"/>
      <c r="N184" s="578"/>
      <c r="O184" s="578"/>
      <c r="P184" s="128"/>
      <c r="Q184" s="941"/>
      <c r="R184" s="942"/>
      <c r="S184" s="942"/>
      <c r="T184" s="942"/>
      <c r="U184" s="942"/>
      <c r="V184" s="942"/>
      <c r="W184" s="942"/>
      <c r="X184" s="942"/>
      <c r="Y184" s="943"/>
      <c r="Z184" s="96"/>
      <c r="AA184" s="399"/>
      <c r="AB184" s="590"/>
      <c r="AC184" s="590"/>
      <c r="AD184" s="203"/>
      <c r="AE184" s="203"/>
      <c r="AF184" s="203"/>
      <c r="AG184" s="203"/>
      <c r="AH184" s="203"/>
      <c r="AI184" s="203"/>
      <c r="AJ184" s="203"/>
      <c r="AK184" s="761"/>
    </row>
    <row r="185" spans="1:37" ht="12.75" customHeight="1" thickBot="1" x14ac:dyDescent="0.3">
      <c r="A185" s="573"/>
      <c r="B185" s="118"/>
      <c r="C185" s="119"/>
      <c r="D185" s="119"/>
      <c r="E185" s="579"/>
      <c r="F185" s="579"/>
      <c r="G185" s="579"/>
      <c r="H185" s="579"/>
      <c r="I185" s="579"/>
      <c r="J185" s="766"/>
      <c r="K185" s="766"/>
      <c r="L185" s="766"/>
      <c r="M185" s="766"/>
      <c r="N185" s="766"/>
      <c r="O185" s="766"/>
      <c r="P185" s="766"/>
      <c r="Q185" s="766"/>
      <c r="R185" s="766"/>
      <c r="S185" s="766"/>
      <c r="T185" s="766"/>
      <c r="U185" s="766"/>
      <c r="V185" s="766"/>
      <c r="W185" s="766"/>
      <c r="X185" s="766"/>
      <c r="Y185" s="766"/>
      <c r="Z185" s="766"/>
      <c r="AA185" s="400"/>
      <c r="AB185" s="590"/>
      <c r="AC185" s="590"/>
      <c r="AD185" s="203"/>
      <c r="AE185" s="203"/>
      <c r="AF185" s="203"/>
      <c r="AG185" s="203"/>
      <c r="AH185" s="203"/>
      <c r="AI185" s="203"/>
      <c r="AJ185" s="203"/>
      <c r="AK185" s="761"/>
    </row>
    <row r="186" spans="1:37" ht="30" customHeight="1" thickTop="1" x14ac:dyDescent="0.25">
      <c r="A186" s="573"/>
      <c r="B186" s="1222" t="s">
        <v>162</v>
      </c>
      <c r="C186" s="1223"/>
      <c r="D186" s="1223"/>
      <c r="E186" s="1223"/>
      <c r="F186" s="1223"/>
      <c r="G186" s="1223"/>
      <c r="H186" s="1223"/>
      <c r="I186" s="1223"/>
      <c r="J186" s="1223"/>
      <c r="K186" s="1223"/>
      <c r="L186" s="1223"/>
      <c r="M186" s="1223"/>
      <c r="N186" s="1223"/>
      <c r="O186" s="1223"/>
      <c r="P186" s="1223"/>
      <c r="Q186" s="1223"/>
      <c r="R186" s="1223"/>
      <c r="S186" s="1223"/>
      <c r="T186" s="1223"/>
      <c r="U186" s="1223"/>
      <c r="V186" s="1223"/>
      <c r="W186" s="1223"/>
      <c r="X186" s="1223"/>
      <c r="Y186" s="1223"/>
      <c r="Z186" s="1223"/>
      <c r="AA186" s="1224"/>
      <c r="AB186" s="590"/>
      <c r="AC186" s="590"/>
      <c r="AD186" s="203"/>
      <c r="AE186" s="203"/>
      <c r="AF186" s="203"/>
      <c r="AG186" s="203"/>
      <c r="AH186" s="203"/>
      <c r="AI186" s="203"/>
      <c r="AJ186" s="203"/>
      <c r="AK186" s="761"/>
    </row>
    <row r="187" spans="1:37" ht="30" customHeight="1" x14ac:dyDescent="0.25">
      <c r="A187" s="573"/>
      <c r="B187" s="606" t="s">
        <v>163</v>
      </c>
      <c r="C187" s="693"/>
      <c r="D187" s="693"/>
      <c r="E187" s="590"/>
      <c r="F187" s="590"/>
      <c r="G187" s="590"/>
      <c r="H187" s="573"/>
      <c r="I187" s="573"/>
      <c r="J187" s="573"/>
      <c r="K187" s="206"/>
      <c r="L187" s="590"/>
      <c r="M187" s="590"/>
      <c r="N187" s="926" t="s">
        <v>164</v>
      </c>
      <c r="O187" s="926"/>
      <c r="P187" s="926"/>
      <c r="Q187" s="926"/>
      <c r="R187" s="926"/>
      <c r="S187" s="590"/>
      <c r="T187" s="590"/>
      <c r="U187" s="590"/>
      <c r="V187" s="590"/>
      <c r="W187" s="590"/>
      <c r="X187" s="590"/>
      <c r="Y187" s="590"/>
      <c r="Z187" s="590"/>
      <c r="AA187" s="83"/>
      <c r="AB187" s="590"/>
      <c r="AC187" s="590"/>
      <c r="AD187" s="203"/>
      <c r="AE187" s="203"/>
      <c r="AF187" s="203"/>
      <c r="AG187" s="203"/>
      <c r="AH187" s="203"/>
      <c r="AI187" s="203"/>
      <c r="AJ187" s="203"/>
      <c r="AK187" s="761"/>
    </row>
    <row r="188" spans="1:37" ht="69.75" customHeight="1" x14ac:dyDescent="0.25">
      <c r="A188" s="573"/>
      <c r="B188" s="82"/>
      <c r="C188" s="693"/>
      <c r="D188" s="693"/>
      <c r="E188" s="936"/>
      <c r="F188" s="948"/>
      <c r="G188" s="948"/>
      <c r="H188" s="948"/>
      <c r="I188" s="948"/>
      <c r="J188" s="948"/>
      <c r="K188" s="948"/>
      <c r="L188" s="948"/>
      <c r="M188" s="948"/>
      <c r="N188" s="948"/>
      <c r="O188" s="948"/>
      <c r="P188" s="948"/>
      <c r="Q188" s="948"/>
      <c r="R188" s="948"/>
      <c r="S188" s="948"/>
      <c r="T188" s="948"/>
      <c r="U188" s="948"/>
      <c r="V188" s="948"/>
      <c r="W188" s="948"/>
      <c r="X188" s="948"/>
      <c r="Y188" s="948"/>
      <c r="Z188" s="949"/>
      <c r="AA188" s="399"/>
      <c r="AB188" s="590"/>
      <c r="AC188" s="590"/>
      <c r="AD188" s="203"/>
      <c r="AE188" s="203"/>
      <c r="AF188" s="203"/>
      <c r="AG188" s="203"/>
      <c r="AH188" s="203"/>
      <c r="AI188" s="203"/>
      <c r="AJ188" s="203"/>
      <c r="AK188" s="761"/>
    </row>
    <row r="189" spans="1:37" ht="30" customHeight="1" x14ac:dyDescent="0.25">
      <c r="A189" s="573"/>
      <c r="B189" s="606" t="s">
        <v>165</v>
      </c>
      <c r="C189" s="693"/>
      <c r="D189" s="693"/>
      <c r="E189" s="590"/>
      <c r="F189" s="590"/>
      <c r="G189" s="590"/>
      <c r="H189" s="573"/>
      <c r="I189" s="573"/>
      <c r="J189" s="573"/>
      <c r="K189" s="206"/>
      <c r="L189" s="590"/>
      <c r="M189" s="590"/>
      <c r="N189" s="926" t="s">
        <v>164</v>
      </c>
      <c r="O189" s="926"/>
      <c r="P189" s="926"/>
      <c r="Q189" s="926"/>
      <c r="R189" s="926"/>
      <c r="S189" s="590"/>
      <c r="T189" s="590"/>
      <c r="U189" s="590"/>
      <c r="V189" s="590"/>
      <c r="W189" s="590"/>
      <c r="X189" s="590"/>
      <c r="Y189" s="590"/>
      <c r="Z189" s="590"/>
      <c r="AA189" s="83"/>
      <c r="AB189" s="590"/>
      <c r="AC189" s="590"/>
      <c r="AD189" s="203"/>
      <c r="AE189" s="203"/>
      <c r="AF189" s="203"/>
      <c r="AG189" s="203"/>
      <c r="AH189" s="203"/>
      <c r="AI189" s="203"/>
      <c r="AJ189" s="203"/>
      <c r="AK189" s="761"/>
    </row>
    <row r="190" spans="1:37" ht="69.75" customHeight="1" x14ac:dyDescent="0.25">
      <c r="A190" s="573"/>
      <c r="B190" s="82"/>
      <c r="C190" s="693"/>
      <c r="D190" s="693"/>
      <c r="E190" s="936"/>
      <c r="F190" s="948"/>
      <c r="G190" s="948"/>
      <c r="H190" s="948"/>
      <c r="I190" s="948"/>
      <c r="J190" s="948"/>
      <c r="K190" s="948"/>
      <c r="L190" s="948"/>
      <c r="M190" s="948"/>
      <c r="N190" s="948"/>
      <c r="O190" s="948"/>
      <c r="P190" s="948"/>
      <c r="Q190" s="948"/>
      <c r="R190" s="948"/>
      <c r="S190" s="948"/>
      <c r="T190" s="948"/>
      <c r="U190" s="948"/>
      <c r="V190" s="948"/>
      <c r="W190" s="948"/>
      <c r="X190" s="948"/>
      <c r="Y190" s="948"/>
      <c r="Z190" s="949"/>
      <c r="AA190" s="399"/>
      <c r="AB190" s="590"/>
      <c r="AC190" s="590"/>
      <c r="AD190" s="203"/>
      <c r="AE190" s="203"/>
      <c r="AF190" s="203"/>
      <c r="AG190" s="203"/>
      <c r="AH190" s="203"/>
      <c r="AI190" s="203"/>
      <c r="AJ190" s="203"/>
      <c r="AK190" s="761"/>
    </row>
    <row r="191" spans="1:37" ht="30" customHeight="1" x14ac:dyDescent="0.25">
      <c r="A191" s="573"/>
      <c r="B191" s="606" t="s">
        <v>166</v>
      </c>
      <c r="C191" s="693"/>
      <c r="D191" s="693"/>
      <c r="E191" s="590"/>
      <c r="F191" s="590"/>
      <c r="G191" s="590"/>
      <c r="H191" s="573"/>
      <c r="I191" s="573"/>
      <c r="J191" s="573"/>
      <c r="K191" s="206"/>
      <c r="L191" s="590"/>
      <c r="M191" s="590"/>
      <c r="N191" s="926" t="s">
        <v>164</v>
      </c>
      <c r="O191" s="926"/>
      <c r="P191" s="926"/>
      <c r="Q191" s="926"/>
      <c r="R191" s="926"/>
      <c r="S191" s="590"/>
      <c r="T191" s="590"/>
      <c r="U191" s="590"/>
      <c r="V191" s="590"/>
      <c r="W191" s="590"/>
      <c r="X191" s="590"/>
      <c r="Y191" s="590"/>
      <c r="Z191" s="590"/>
      <c r="AA191" s="83"/>
      <c r="AB191" s="590"/>
      <c r="AC191" s="590"/>
      <c r="AD191" s="203"/>
      <c r="AE191" s="203"/>
      <c r="AF191" s="203"/>
      <c r="AG191" s="203"/>
      <c r="AH191" s="203"/>
      <c r="AI191" s="203"/>
      <c r="AJ191" s="203"/>
      <c r="AK191" s="761"/>
    </row>
    <row r="192" spans="1:37" ht="69.75" customHeight="1" x14ac:dyDescent="0.25">
      <c r="A192" s="573"/>
      <c r="B192" s="82"/>
      <c r="C192" s="693"/>
      <c r="D192" s="693"/>
      <c r="E192" s="936"/>
      <c r="F192" s="948"/>
      <c r="G192" s="948"/>
      <c r="H192" s="948"/>
      <c r="I192" s="948"/>
      <c r="J192" s="948"/>
      <c r="K192" s="948"/>
      <c r="L192" s="948"/>
      <c r="M192" s="948"/>
      <c r="N192" s="948"/>
      <c r="O192" s="948"/>
      <c r="P192" s="948"/>
      <c r="Q192" s="948"/>
      <c r="R192" s="948"/>
      <c r="S192" s="948"/>
      <c r="T192" s="948"/>
      <c r="U192" s="948"/>
      <c r="V192" s="948"/>
      <c r="W192" s="948"/>
      <c r="X192" s="948"/>
      <c r="Y192" s="948"/>
      <c r="Z192" s="949"/>
      <c r="AA192" s="399"/>
      <c r="AB192" s="590"/>
      <c r="AC192" s="590"/>
      <c r="AD192" s="203"/>
      <c r="AE192" s="203"/>
      <c r="AF192" s="203"/>
      <c r="AG192" s="203"/>
      <c r="AH192" s="203"/>
      <c r="AI192" s="203"/>
      <c r="AJ192" s="203"/>
      <c r="AK192" s="761"/>
    </row>
    <row r="193" spans="1:37" ht="30" customHeight="1" x14ac:dyDescent="0.25">
      <c r="A193" s="573"/>
      <c r="B193" s="606" t="s">
        <v>167</v>
      </c>
      <c r="C193" s="693"/>
      <c r="D193" s="693"/>
      <c r="E193" s="590"/>
      <c r="F193" s="590"/>
      <c r="G193" s="590"/>
      <c r="H193" s="573"/>
      <c r="I193" s="573"/>
      <c r="J193" s="573"/>
      <c r="K193" s="206"/>
      <c r="L193" s="590"/>
      <c r="M193" s="590"/>
      <c r="N193" s="926" t="s">
        <v>164</v>
      </c>
      <c r="O193" s="926"/>
      <c r="P193" s="926"/>
      <c r="Q193" s="926"/>
      <c r="R193" s="926"/>
      <c r="S193" s="590"/>
      <c r="T193" s="590"/>
      <c r="U193" s="590"/>
      <c r="V193" s="590"/>
      <c r="W193" s="590"/>
      <c r="X193" s="590"/>
      <c r="Y193" s="590"/>
      <c r="Z193" s="590"/>
      <c r="AA193" s="83"/>
      <c r="AB193" s="590"/>
      <c r="AC193" s="590"/>
      <c r="AD193" s="203"/>
      <c r="AE193" s="203"/>
      <c r="AF193" s="203"/>
      <c r="AG193" s="203"/>
      <c r="AH193" s="203"/>
      <c r="AI193" s="203"/>
      <c r="AJ193" s="203"/>
      <c r="AK193" s="761"/>
    </row>
    <row r="194" spans="1:37" ht="69.75" customHeight="1" x14ac:dyDescent="0.25">
      <c r="A194" s="573"/>
      <c r="B194" s="82"/>
      <c r="C194" s="693"/>
      <c r="D194" s="693"/>
      <c r="E194" s="936"/>
      <c r="F194" s="948"/>
      <c r="G194" s="948"/>
      <c r="H194" s="948"/>
      <c r="I194" s="948"/>
      <c r="J194" s="948"/>
      <c r="K194" s="948"/>
      <c r="L194" s="948"/>
      <c r="M194" s="948"/>
      <c r="N194" s="948"/>
      <c r="O194" s="948"/>
      <c r="P194" s="948"/>
      <c r="Q194" s="948"/>
      <c r="R194" s="948"/>
      <c r="S194" s="948"/>
      <c r="T194" s="948"/>
      <c r="U194" s="948"/>
      <c r="V194" s="948"/>
      <c r="W194" s="948"/>
      <c r="X194" s="948"/>
      <c r="Y194" s="948"/>
      <c r="Z194" s="949"/>
      <c r="AA194" s="399"/>
      <c r="AB194" s="590"/>
      <c r="AC194" s="590"/>
      <c r="AD194" s="203"/>
      <c r="AE194" s="203"/>
      <c r="AF194" s="203"/>
      <c r="AG194" s="203"/>
      <c r="AH194" s="203"/>
      <c r="AI194" s="203"/>
      <c r="AJ194" s="203"/>
      <c r="AK194" s="761"/>
    </row>
    <row r="195" spans="1:37" ht="30" customHeight="1" x14ac:dyDescent="0.25">
      <c r="A195" s="573"/>
      <c r="B195" s="606" t="s">
        <v>168</v>
      </c>
      <c r="C195" s="693"/>
      <c r="D195" s="693"/>
      <c r="E195" s="590"/>
      <c r="F195" s="590"/>
      <c r="G195" s="590"/>
      <c r="H195" s="573"/>
      <c r="I195" s="573"/>
      <c r="J195" s="573"/>
      <c r="K195" s="206"/>
      <c r="L195" s="590"/>
      <c r="M195" s="590"/>
      <c r="N195" s="926" t="s">
        <v>164</v>
      </c>
      <c r="O195" s="926"/>
      <c r="P195" s="926"/>
      <c r="Q195" s="926"/>
      <c r="R195" s="926"/>
      <c r="S195" s="590"/>
      <c r="T195" s="590"/>
      <c r="U195" s="590"/>
      <c r="V195" s="590"/>
      <c r="W195" s="590"/>
      <c r="X195" s="590"/>
      <c r="Y195" s="590"/>
      <c r="Z195" s="590"/>
      <c r="AA195" s="83"/>
      <c r="AB195" s="590"/>
      <c r="AC195" s="590"/>
      <c r="AD195" s="203"/>
      <c r="AE195" s="203"/>
      <c r="AF195" s="203"/>
      <c r="AG195" s="203"/>
      <c r="AH195" s="203"/>
      <c r="AI195" s="203"/>
      <c r="AJ195" s="203"/>
      <c r="AK195" s="761"/>
    </row>
    <row r="196" spans="1:37" ht="69.75" customHeight="1" x14ac:dyDescent="0.25">
      <c r="A196" s="573"/>
      <c r="B196" s="82"/>
      <c r="C196" s="693"/>
      <c r="D196" s="693"/>
      <c r="E196" s="936"/>
      <c r="F196" s="948"/>
      <c r="G196" s="948"/>
      <c r="H196" s="948"/>
      <c r="I196" s="948"/>
      <c r="J196" s="948"/>
      <c r="K196" s="948"/>
      <c r="L196" s="948"/>
      <c r="M196" s="948"/>
      <c r="N196" s="948"/>
      <c r="O196" s="948"/>
      <c r="P196" s="948"/>
      <c r="Q196" s="948"/>
      <c r="R196" s="948"/>
      <c r="S196" s="948"/>
      <c r="T196" s="948"/>
      <c r="U196" s="948"/>
      <c r="V196" s="948"/>
      <c r="W196" s="948"/>
      <c r="X196" s="948"/>
      <c r="Y196" s="948"/>
      <c r="Z196" s="949"/>
      <c r="AA196" s="399"/>
      <c r="AB196" s="590"/>
      <c r="AC196" s="590"/>
      <c r="AD196" s="203"/>
      <c r="AE196" s="203"/>
      <c r="AF196" s="203"/>
      <c r="AG196" s="203"/>
      <c r="AH196" s="203"/>
      <c r="AI196" s="203"/>
      <c r="AJ196" s="203"/>
      <c r="AK196" s="761"/>
    </row>
    <row r="197" spans="1:37" ht="30" customHeight="1" x14ac:dyDescent="0.25">
      <c r="A197" s="573"/>
      <c r="B197" s="606" t="s">
        <v>67</v>
      </c>
      <c r="C197" s="693"/>
      <c r="D197" s="693"/>
      <c r="E197" s="590"/>
      <c r="F197" s="590"/>
      <c r="G197" s="590"/>
      <c r="H197" s="573"/>
      <c r="I197" s="573"/>
      <c r="J197" s="573"/>
      <c r="K197" s="206"/>
      <c r="L197" s="590"/>
      <c r="M197" s="590"/>
      <c r="N197" s="926" t="s">
        <v>164</v>
      </c>
      <c r="O197" s="926"/>
      <c r="P197" s="926"/>
      <c r="Q197" s="926"/>
      <c r="R197" s="926"/>
      <c r="S197" s="590"/>
      <c r="T197" s="590"/>
      <c r="U197" s="590"/>
      <c r="V197" s="590"/>
      <c r="W197" s="590"/>
      <c r="X197" s="590"/>
      <c r="Y197" s="590"/>
      <c r="Z197" s="590"/>
      <c r="AA197" s="83"/>
      <c r="AB197" s="590"/>
      <c r="AC197" s="590"/>
      <c r="AD197" s="203"/>
      <c r="AE197" s="203"/>
      <c r="AF197" s="203"/>
      <c r="AG197" s="203"/>
      <c r="AH197" s="203"/>
      <c r="AI197" s="203"/>
      <c r="AJ197" s="203"/>
      <c r="AK197" s="761"/>
    </row>
    <row r="198" spans="1:37" ht="69.75" customHeight="1" x14ac:dyDescent="0.25">
      <c r="A198" s="573"/>
      <c r="B198" s="82"/>
      <c r="C198" s="693"/>
      <c r="D198" s="693"/>
      <c r="E198" s="936"/>
      <c r="F198" s="948"/>
      <c r="G198" s="948"/>
      <c r="H198" s="948"/>
      <c r="I198" s="948"/>
      <c r="J198" s="948"/>
      <c r="K198" s="948"/>
      <c r="L198" s="948"/>
      <c r="M198" s="948"/>
      <c r="N198" s="948"/>
      <c r="O198" s="948"/>
      <c r="P198" s="948"/>
      <c r="Q198" s="948"/>
      <c r="R198" s="948"/>
      <c r="S198" s="948"/>
      <c r="T198" s="948"/>
      <c r="U198" s="948"/>
      <c r="V198" s="948"/>
      <c r="W198" s="948"/>
      <c r="X198" s="948"/>
      <c r="Y198" s="948"/>
      <c r="Z198" s="949"/>
      <c r="AA198" s="399"/>
      <c r="AB198" s="590"/>
      <c r="AC198" s="590"/>
      <c r="AD198" s="203"/>
      <c r="AE198" s="203"/>
      <c r="AF198" s="203"/>
      <c r="AG198" s="203"/>
      <c r="AH198" s="203"/>
      <c r="AI198" s="203"/>
      <c r="AJ198" s="203"/>
      <c r="AK198" s="761"/>
    </row>
    <row r="199" spans="1:37" ht="30" customHeight="1" x14ac:dyDescent="0.25">
      <c r="A199" s="573"/>
      <c r="B199" s="606" t="s">
        <v>169</v>
      </c>
      <c r="C199" s="693"/>
      <c r="D199" s="693"/>
      <c r="E199" s="590"/>
      <c r="F199" s="590"/>
      <c r="G199" s="590"/>
      <c r="H199" s="573"/>
      <c r="I199" s="573"/>
      <c r="J199" s="573"/>
      <c r="K199" s="206"/>
      <c r="L199" s="590"/>
      <c r="M199" s="590"/>
      <c r="N199" s="926" t="s">
        <v>164</v>
      </c>
      <c r="O199" s="926"/>
      <c r="P199" s="926"/>
      <c r="Q199" s="926"/>
      <c r="R199" s="926"/>
      <c r="S199" s="590"/>
      <c r="T199" s="590"/>
      <c r="U199" s="590"/>
      <c r="V199" s="590"/>
      <c r="W199" s="590"/>
      <c r="X199" s="590"/>
      <c r="Y199" s="590"/>
      <c r="Z199" s="590"/>
      <c r="AA199" s="83"/>
      <c r="AB199" s="590"/>
      <c r="AC199" s="590"/>
      <c r="AD199" s="203"/>
      <c r="AE199" s="203"/>
      <c r="AF199" s="203"/>
      <c r="AG199" s="203"/>
      <c r="AH199" s="203"/>
      <c r="AI199" s="203"/>
      <c r="AJ199" s="203"/>
      <c r="AK199" s="761"/>
    </row>
    <row r="200" spans="1:37" ht="69.75" customHeight="1" x14ac:dyDescent="0.25">
      <c r="A200" s="573"/>
      <c r="B200" s="82"/>
      <c r="C200" s="693"/>
      <c r="D200" s="693"/>
      <c r="E200" s="936"/>
      <c r="F200" s="948"/>
      <c r="G200" s="948"/>
      <c r="H200" s="948"/>
      <c r="I200" s="948"/>
      <c r="J200" s="948"/>
      <c r="K200" s="948"/>
      <c r="L200" s="948"/>
      <c r="M200" s="948"/>
      <c r="N200" s="948"/>
      <c r="O200" s="948"/>
      <c r="P200" s="948"/>
      <c r="Q200" s="948"/>
      <c r="R200" s="948"/>
      <c r="S200" s="948"/>
      <c r="T200" s="948"/>
      <c r="U200" s="948"/>
      <c r="V200" s="948"/>
      <c r="W200" s="948"/>
      <c r="X200" s="948"/>
      <c r="Y200" s="948"/>
      <c r="Z200" s="949"/>
      <c r="AA200" s="399"/>
      <c r="AB200" s="590"/>
      <c r="AC200" s="590"/>
      <c r="AD200" s="203"/>
      <c r="AE200" s="203"/>
      <c r="AF200" s="203"/>
      <c r="AG200" s="203"/>
      <c r="AH200" s="203"/>
      <c r="AI200" s="203"/>
      <c r="AJ200" s="203"/>
      <c r="AK200" s="761"/>
    </row>
    <row r="201" spans="1:37" ht="30" customHeight="1" x14ac:dyDescent="0.25">
      <c r="A201" s="573"/>
      <c r="B201" s="606" t="s">
        <v>170</v>
      </c>
      <c r="C201" s="693"/>
      <c r="D201" s="693"/>
      <c r="E201" s="590"/>
      <c r="F201" s="590"/>
      <c r="G201" s="590"/>
      <c r="H201" s="573"/>
      <c r="I201" s="573"/>
      <c r="J201" s="573"/>
      <c r="K201" s="206"/>
      <c r="L201" s="590"/>
      <c r="M201" s="590"/>
      <c r="N201" s="926" t="s">
        <v>164</v>
      </c>
      <c r="O201" s="926"/>
      <c r="P201" s="926"/>
      <c r="Q201" s="926"/>
      <c r="R201" s="926"/>
      <c r="S201" s="590"/>
      <c r="T201" s="590"/>
      <c r="U201" s="590"/>
      <c r="V201" s="590"/>
      <c r="W201" s="590"/>
      <c r="X201" s="590"/>
      <c r="Y201" s="590"/>
      <c r="Z201" s="590"/>
      <c r="AA201" s="83"/>
      <c r="AB201" s="590"/>
      <c r="AC201" s="590"/>
      <c r="AD201" s="203"/>
      <c r="AE201" s="203"/>
      <c r="AF201" s="203"/>
      <c r="AG201" s="203"/>
      <c r="AH201" s="203"/>
      <c r="AI201" s="203"/>
      <c r="AJ201" s="203"/>
      <c r="AK201" s="761"/>
    </row>
    <row r="202" spans="1:37" ht="69.75" customHeight="1" x14ac:dyDescent="0.25">
      <c r="A202" s="573"/>
      <c r="B202" s="82"/>
      <c r="C202" s="693"/>
      <c r="D202" s="693"/>
      <c r="E202" s="936"/>
      <c r="F202" s="948"/>
      <c r="G202" s="948"/>
      <c r="H202" s="948"/>
      <c r="I202" s="948"/>
      <c r="J202" s="948"/>
      <c r="K202" s="948"/>
      <c r="L202" s="948"/>
      <c r="M202" s="948"/>
      <c r="N202" s="948"/>
      <c r="O202" s="948"/>
      <c r="P202" s="948"/>
      <c r="Q202" s="948"/>
      <c r="R202" s="948"/>
      <c r="S202" s="948"/>
      <c r="T202" s="948"/>
      <c r="U202" s="948"/>
      <c r="V202" s="948"/>
      <c r="W202" s="948"/>
      <c r="X202" s="948"/>
      <c r="Y202" s="948"/>
      <c r="Z202" s="949"/>
      <c r="AA202" s="399"/>
      <c r="AB202" s="590"/>
      <c r="AC202" s="590"/>
      <c r="AD202" s="203"/>
      <c r="AE202" s="203"/>
      <c r="AF202" s="203"/>
      <c r="AG202" s="203"/>
      <c r="AH202" s="203"/>
      <c r="AI202" s="203"/>
      <c r="AJ202" s="203"/>
      <c r="AK202" s="761"/>
    </row>
    <row r="203" spans="1:37" ht="30" customHeight="1" x14ac:dyDescent="0.25">
      <c r="A203" s="573"/>
      <c r="B203" s="606" t="s">
        <v>171</v>
      </c>
      <c r="C203" s="693"/>
      <c r="D203" s="693"/>
      <c r="E203" s="590"/>
      <c r="F203" s="590"/>
      <c r="G203" s="590"/>
      <c r="H203" s="573"/>
      <c r="I203" s="573"/>
      <c r="J203" s="573"/>
      <c r="K203" s="206"/>
      <c r="L203" s="590"/>
      <c r="M203" s="590"/>
      <c r="N203" s="926" t="s">
        <v>164</v>
      </c>
      <c r="O203" s="926"/>
      <c r="P203" s="926"/>
      <c r="Q203" s="926"/>
      <c r="R203" s="926"/>
      <c r="S203" s="590"/>
      <c r="T203" s="590"/>
      <c r="U203" s="590"/>
      <c r="V203" s="590"/>
      <c r="W203" s="590"/>
      <c r="X203" s="590"/>
      <c r="Y203" s="590"/>
      <c r="Z203" s="590"/>
      <c r="AA203" s="83"/>
      <c r="AB203" s="590"/>
      <c r="AC203" s="590"/>
      <c r="AD203" s="203"/>
      <c r="AE203" s="203"/>
      <c r="AF203" s="203"/>
      <c r="AG203" s="203"/>
      <c r="AH203" s="203"/>
      <c r="AI203" s="203"/>
      <c r="AJ203" s="203"/>
      <c r="AK203" s="761"/>
    </row>
    <row r="204" spans="1:37" ht="69.75" customHeight="1" x14ac:dyDescent="0.25">
      <c r="A204" s="573"/>
      <c r="B204" s="82"/>
      <c r="C204" s="693"/>
      <c r="D204" s="693"/>
      <c r="E204" s="936"/>
      <c r="F204" s="948"/>
      <c r="G204" s="948"/>
      <c r="H204" s="948"/>
      <c r="I204" s="948"/>
      <c r="J204" s="948"/>
      <c r="K204" s="948"/>
      <c r="L204" s="948"/>
      <c r="M204" s="948"/>
      <c r="N204" s="948"/>
      <c r="O204" s="948"/>
      <c r="P204" s="948"/>
      <c r="Q204" s="948"/>
      <c r="R204" s="948"/>
      <c r="S204" s="948"/>
      <c r="T204" s="948"/>
      <c r="U204" s="948"/>
      <c r="V204" s="948"/>
      <c r="W204" s="948"/>
      <c r="X204" s="948"/>
      <c r="Y204" s="948"/>
      <c r="Z204" s="949"/>
      <c r="AA204" s="399"/>
      <c r="AB204" s="590"/>
      <c r="AC204" s="590"/>
      <c r="AD204" s="203"/>
      <c r="AE204" s="203"/>
      <c r="AF204" s="203"/>
      <c r="AG204" s="203"/>
      <c r="AH204" s="203"/>
      <c r="AI204" s="203"/>
      <c r="AJ204" s="203"/>
      <c r="AK204" s="761"/>
    </row>
    <row r="205" spans="1:37" ht="30" customHeight="1" x14ac:dyDescent="0.25">
      <c r="A205" s="573"/>
      <c r="B205" s="606" t="s">
        <v>172</v>
      </c>
      <c r="C205" s="693"/>
      <c r="D205" s="693"/>
      <c r="E205" s="590"/>
      <c r="F205" s="590"/>
      <c r="G205" s="590"/>
      <c r="H205" s="573"/>
      <c r="I205" s="573"/>
      <c r="J205" s="573"/>
      <c r="K205" s="206"/>
      <c r="L205" s="590"/>
      <c r="M205" s="590"/>
      <c r="N205" s="926" t="s">
        <v>164</v>
      </c>
      <c r="O205" s="926"/>
      <c r="P205" s="926"/>
      <c r="Q205" s="926"/>
      <c r="R205" s="926"/>
      <c r="S205" s="590"/>
      <c r="T205" s="590"/>
      <c r="U205" s="590"/>
      <c r="V205" s="590"/>
      <c r="W205" s="590"/>
      <c r="X205" s="590"/>
      <c r="Y205" s="590"/>
      <c r="Z205" s="590"/>
      <c r="AA205" s="83"/>
      <c r="AB205" s="590"/>
      <c r="AC205" s="590"/>
      <c r="AD205" s="203"/>
      <c r="AE205" s="203"/>
      <c r="AF205" s="203"/>
      <c r="AG205" s="203"/>
      <c r="AH205" s="203"/>
      <c r="AI205" s="203"/>
      <c r="AJ205" s="203"/>
      <c r="AK205" s="761"/>
    </row>
    <row r="206" spans="1:37" ht="69.75" customHeight="1" x14ac:dyDescent="0.25">
      <c r="A206" s="573"/>
      <c r="B206" s="82"/>
      <c r="C206" s="693"/>
      <c r="D206" s="693"/>
      <c r="E206" s="936"/>
      <c r="F206" s="948"/>
      <c r="G206" s="948"/>
      <c r="H206" s="948"/>
      <c r="I206" s="948"/>
      <c r="J206" s="948"/>
      <c r="K206" s="948"/>
      <c r="L206" s="948"/>
      <c r="M206" s="948"/>
      <c r="N206" s="948"/>
      <c r="O206" s="948"/>
      <c r="P206" s="948"/>
      <c r="Q206" s="948"/>
      <c r="R206" s="948"/>
      <c r="S206" s="948"/>
      <c r="T206" s="948"/>
      <c r="U206" s="948"/>
      <c r="V206" s="948"/>
      <c r="W206" s="948"/>
      <c r="X206" s="948"/>
      <c r="Y206" s="948"/>
      <c r="Z206" s="949"/>
      <c r="AA206" s="399"/>
      <c r="AB206" s="590"/>
      <c r="AC206" s="590"/>
      <c r="AD206" s="203"/>
      <c r="AE206" s="203"/>
      <c r="AF206" s="203"/>
      <c r="AG206" s="203"/>
      <c r="AH206" s="203"/>
      <c r="AI206" s="203"/>
      <c r="AJ206" s="203"/>
      <c r="AK206" s="761"/>
    </row>
    <row r="207" spans="1:37" ht="30" customHeight="1" x14ac:dyDescent="0.25">
      <c r="A207" s="573"/>
      <c r="B207" s="606" t="s">
        <v>173</v>
      </c>
      <c r="C207" s="693"/>
      <c r="D207" s="693"/>
      <c r="E207" s="590"/>
      <c r="F207" s="590"/>
      <c r="G207" s="590"/>
      <c r="H207" s="573"/>
      <c r="I207" s="573"/>
      <c r="J207" s="573"/>
      <c r="K207" s="206"/>
      <c r="L207" s="590"/>
      <c r="M207" s="590"/>
      <c r="N207" s="926" t="s">
        <v>164</v>
      </c>
      <c r="O207" s="926"/>
      <c r="P207" s="926"/>
      <c r="Q207" s="926"/>
      <c r="R207" s="926"/>
      <c r="S207" s="590"/>
      <c r="T207" s="590"/>
      <c r="U207" s="590"/>
      <c r="V207" s="590"/>
      <c r="W207" s="590"/>
      <c r="X207" s="590"/>
      <c r="Y207" s="590"/>
      <c r="Z207" s="590"/>
      <c r="AA207" s="83"/>
      <c r="AB207" s="590"/>
      <c r="AC207" s="590"/>
      <c r="AD207" s="203"/>
      <c r="AE207" s="203"/>
      <c r="AF207" s="203"/>
      <c r="AG207" s="203"/>
      <c r="AH207" s="203"/>
      <c r="AI207" s="203"/>
      <c r="AJ207" s="203"/>
      <c r="AK207" s="761"/>
    </row>
    <row r="208" spans="1:37" ht="69.75" customHeight="1" x14ac:dyDescent="0.25">
      <c r="A208" s="573"/>
      <c r="B208" s="82"/>
      <c r="C208" s="693"/>
      <c r="D208" s="693"/>
      <c r="E208" s="936"/>
      <c r="F208" s="948"/>
      <c r="G208" s="948"/>
      <c r="H208" s="948"/>
      <c r="I208" s="948"/>
      <c r="J208" s="948"/>
      <c r="K208" s="948"/>
      <c r="L208" s="948"/>
      <c r="M208" s="948"/>
      <c r="N208" s="948"/>
      <c r="O208" s="948"/>
      <c r="P208" s="948"/>
      <c r="Q208" s="948"/>
      <c r="R208" s="948"/>
      <c r="S208" s="948"/>
      <c r="T208" s="948"/>
      <c r="U208" s="948"/>
      <c r="V208" s="948"/>
      <c r="W208" s="948"/>
      <c r="X208" s="948"/>
      <c r="Y208" s="948"/>
      <c r="Z208" s="949"/>
      <c r="AA208" s="399"/>
      <c r="AB208" s="590"/>
      <c r="AC208" s="590"/>
      <c r="AD208" s="203"/>
      <c r="AE208" s="203"/>
      <c r="AF208" s="203"/>
      <c r="AG208" s="203"/>
      <c r="AH208" s="203"/>
      <c r="AI208" s="203"/>
      <c r="AJ208" s="203"/>
      <c r="AK208" s="761"/>
    </row>
    <row r="209" spans="1:37" ht="30" customHeight="1" x14ac:dyDescent="0.25">
      <c r="A209" s="573"/>
      <c r="B209" s="606" t="s">
        <v>174</v>
      </c>
      <c r="C209" s="693"/>
      <c r="D209" s="693"/>
      <c r="E209" s="590"/>
      <c r="F209" s="590"/>
      <c r="G209" s="590"/>
      <c r="H209" s="573"/>
      <c r="I209" s="573"/>
      <c r="J209" s="573"/>
      <c r="K209" s="206"/>
      <c r="L209" s="590"/>
      <c r="M209" s="590"/>
      <c r="N209" s="926" t="s">
        <v>164</v>
      </c>
      <c r="O209" s="926"/>
      <c r="P209" s="926"/>
      <c r="Q209" s="926"/>
      <c r="R209" s="926"/>
      <c r="S209" s="590"/>
      <c r="T209" s="590"/>
      <c r="U209" s="590"/>
      <c r="V209" s="590"/>
      <c r="W209" s="590"/>
      <c r="X209" s="590"/>
      <c r="Y209" s="590"/>
      <c r="Z209" s="590"/>
      <c r="AA209" s="83"/>
      <c r="AB209" s="590"/>
      <c r="AC209" s="590"/>
      <c r="AD209" s="203"/>
      <c r="AE209" s="203"/>
      <c r="AF209" s="203"/>
      <c r="AG209" s="203"/>
      <c r="AH209" s="203"/>
      <c r="AI209" s="203"/>
      <c r="AJ209" s="203"/>
      <c r="AK209" s="761"/>
    </row>
    <row r="210" spans="1:37" ht="69.75" customHeight="1" x14ac:dyDescent="0.25">
      <c r="A210" s="573"/>
      <c r="B210" s="82"/>
      <c r="C210" s="693"/>
      <c r="D210" s="693"/>
      <c r="E210" s="936"/>
      <c r="F210" s="948"/>
      <c r="G210" s="948"/>
      <c r="H210" s="948"/>
      <c r="I210" s="948"/>
      <c r="J210" s="948"/>
      <c r="K210" s="948"/>
      <c r="L210" s="948"/>
      <c r="M210" s="948"/>
      <c r="N210" s="948"/>
      <c r="O210" s="948"/>
      <c r="P210" s="948"/>
      <c r="Q210" s="948"/>
      <c r="R210" s="948"/>
      <c r="S210" s="948"/>
      <c r="T210" s="948"/>
      <c r="U210" s="948"/>
      <c r="V210" s="948"/>
      <c r="W210" s="948"/>
      <c r="X210" s="948"/>
      <c r="Y210" s="948"/>
      <c r="Z210" s="949"/>
      <c r="AA210" s="399"/>
      <c r="AB210" s="590"/>
      <c r="AC210" s="590"/>
      <c r="AD210" s="203"/>
      <c r="AE210" s="203"/>
      <c r="AF210" s="203"/>
      <c r="AG210" s="203"/>
      <c r="AH210" s="203"/>
      <c r="AI210" s="203"/>
      <c r="AJ210" s="203"/>
      <c r="AK210" s="761"/>
    </row>
    <row r="211" spans="1:37" ht="30" customHeight="1" x14ac:dyDescent="0.25">
      <c r="A211" s="573"/>
      <c r="B211" s="606" t="s">
        <v>175</v>
      </c>
      <c r="C211" s="693"/>
      <c r="D211" s="693"/>
      <c r="E211" s="590"/>
      <c r="F211" s="590"/>
      <c r="G211" s="590"/>
      <c r="H211" s="573"/>
      <c r="I211" s="573"/>
      <c r="J211" s="573"/>
      <c r="K211" s="206"/>
      <c r="L211" s="590"/>
      <c r="M211" s="590"/>
      <c r="N211" s="926" t="s">
        <v>164</v>
      </c>
      <c r="O211" s="926"/>
      <c r="P211" s="926"/>
      <c r="Q211" s="926"/>
      <c r="R211" s="926"/>
      <c r="S211" s="590"/>
      <c r="T211" s="590"/>
      <c r="U211" s="590"/>
      <c r="V211" s="590"/>
      <c r="W211" s="590"/>
      <c r="X211" s="590"/>
      <c r="Y211" s="590"/>
      <c r="Z211" s="590"/>
      <c r="AA211" s="83"/>
      <c r="AB211" s="590"/>
      <c r="AC211" s="590"/>
      <c r="AD211" s="203"/>
      <c r="AE211" s="203"/>
      <c r="AF211" s="203"/>
      <c r="AG211" s="203"/>
      <c r="AH211" s="203"/>
      <c r="AI211" s="203"/>
      <c r="AJ211" s="203"/>
      <c r="AK211" s="761"/>
    </row>
    <row r="212" spans="1:37" ht="69.75" customHeight="1" x14ac:dyDescent="0.25">
      <c r="A212" s="573"/>
      <c r="B212" s="82"/>
      <c r="C212" s="693"/>
      <c r="D212" s="693"/>
      <c r="E212" s="936"/>
      <c r="F212" s="948"/>
      <c r="G212" s="948"/>
      <c r="H212" s="948"/>
      <c r="I212" s="948"/>
      <c r="J212" s="948"/>
      <c r="K212" s="948"/>
      <c r="L212" s="948"/>
      <c r="M212" s="948"/>
      <c r="N212" s="948"/>
      <c r="O212" s="948"/>
      <c r="P212" s="948"/>
      <c r="Q212" s="948"/>
      <c r="R212" s="948"/>
      <c r="S212" s="948"/>
      <c r="T212" s="948"/>
      <c r="U212" s="948"/>
      <c r="V212" s="948"/>
      <c r="W212" s="948"/>
      <c r="X212" s="948"/>
      <c r="Y212" s="948"/>
      <c r="Z212" s="949"/>
      <c r="AA212" s="399"/>
      <c r="AB212" s="590"/>
      <c r="AC212" s="590"/>
      <c r="AD212" s="203"/>
      <c r="AE212" s="203"/>
      <c r="AF212" s="203"/>
      <c r="AG212" s="203"/>
      <c r="AH212" s="203"/>
      <c r="AI212" s="203"/>
      <c r="AJ212" s="203"/>
      <c r="AK212" s="761"/>
    </row>
    <row r="213" spans="1:37" ht="30" customHeight="1" x14ac:dyDescent="0.25">
      <c r="A213" s="573"/>
      <c r="B213" s="1378" t="s">
        <v>176</v>
      </c>
      <c r="C213" s="1379"/>
      <c r="D213" s="1379"/>
      <c r="E213" s="1379"/>
      <c r="F213" s="1379"/>
      <c r="G213" s="1379"/>
      <c r="H213" s="1379"/>
      <c r="I213" s="1379"/>
      <c r="J213" s="1379"/>
      <c r="K213" s="1379"/>
      <c r="L213" s="1379"/>
      <c r="M213" s="1379"/>
      <c r="N213" s="926" t="s">
        <v>164</v>
      </c>
      <c r="O213" s="926"/>
      <c r="P213" s="926"/>
      <c r="Q213" s="926"/>
      <c r="R213" s="926"/>
      <c r="S213" s="590"/>
      <c r="T213" s="590"/>
      <c r="U213" s="590"/>
      <c r="V213" s="590"/>
      <c r="W213" s="590"/>
      <c r="X213" s="590"/>
      <c r="Y213" s="590"/>
      <c r="Z213" s="590"/>
      <c r="AA213" s="83"/>
      <c r="AB213" s="590"/>
      <c r="AC213" s="590"/>
      <c r="AD213" s="203"/>
      <c r="AE213" s="203"/>
      <c r="AF213" s="203"/>
      <c r="AG213" s="203"/>
      <c r="AH213" s="203"/>
      <c r="AI213" s="203"/>
      <c r="AJ213" s="203"/>
      <c r="AK213" s="761"/>
    </row>
    <row r="214" spans="1:37" ht="69.75" customHeight="1" x14ac:dyDescent="0.25">
      <c r="A214" s="573"/>
      <c r="B214" s="82"/>
      <c r="C214" s="693"/>
      <c r="D214" s="693"/>
      <c r="E214" s="936"/>
      <c r="F214" s="948"/>
      <c r="G214" s="948"/>
      <c r="H214" s="948"/>
      <c r="I214" s="948"/>
      <c r="J214" s="948"/>
      <c r="K214" s="948"/>
      <c r="L214" s="948"/>
      <c r="M214" s="948"/>
      <c r="N214" s="948"/>
      <c r="O214" s="948"/>
      <c r="P214" s="948"/>
      <c r="Q214" s="948"/>
      <c r="R214" s="948"/>
      <c r="S214" s="948"/>
      <c r="T214" s="948"/>
      <c r="U214" s="948"/>
      <c r="V214" s="948"/>
      <c r="W214" s="948"/>
      <c r="X214" s="948"/>
      <c r="Y214" s="948"/>
      <c r="Z214" s="949"/>
      <c r="AA214" s="399"/>
      <c r="AB214" s="590"/>
      <c r="AC214" s="590"/>
      <c r="AD214" s="203"/>
      <c r="AE214" s="203"/>
      <c r="AF214" s="203"/>
      <c r="AG214" s="203"/>
      <c r="AH214" s="203"/>
      <c r="AI214" s="203"/>
      <c r="AJ214" s="203"/>
      <c r="AK214" s="761"/>
    </row>
    <row r="215" spans="1:37" ht="30" customHeight="1" x14ac:dyDescent="0.25">
      <c r="A215" s="573"/>
      <c r="B215" s="606" t="s">
        <v>83</v>
      </c>
      <c r="C215" s="693"/>
      <c r="D215" s="693"/>
      <c r="E215" s="590"/>
      <c r="F215" s="590"/>
      <c r="G215" s="590"/>
      <c r="H215" s="573"/>
      <c r="I215" s="573"/>
      <c r="J215" s="573"/>
      <c r="K215" s="206"/>
      <c r="L215" s="590"/>
      <c r="M215" s="590"/>
      <c r="N215" s="926" t="s">
        <v>164</v>
      </c>
      <c r="O215" s="926"/>
      <c r="P215" s="926"/>
      <c r="Q215" s="926"/>
      <c r="R215" s="926"/>
      <c r="S215" s="590"/>
      <c r="T215" s="590"/>
      <c r="U215" s="590"/>
      <c r="V215" s="590"/>
      <c r="W215" s="590"/>
      <c r="X215" s="590"/>
      <c r="Y215" s="590"/>
      <c r="Z215" s="590"/>
      <c r="AA215" s="83"/>
      <c r="AB215" s="590"/>
      <c r="AC215" s="590"/>
      <c r="AD215" s="203"/>
      <c r="AE215" s="203"/>
      <c r="AF215" s="203"/>
      <c r="AG215" s="203"/>
      <c r="AH215" s="203"/>
      <c r="AI215" s="203"/>
      <c r="AJ215" s="203"/>
      <c r="AK215" s="761"/>
    </row>
    <row r="216" spans="1:37" ht="69.75" customHeight="1" x14ac:dyDescent="0.25">
      <c r="A216" s="573"/>
      <c r="B216" s="82"/>
      <c r="C216" s="693"/>
      <c r="D216" s="693"/>
      <c r="E216" s="936"/>
      <c r="F216" s="948"/>
      <c r="G216" s="948"/>
      <c r="H216" s="948"/>
      <c r="I216" s="948"/>
      <c r="J216" s="948"/>
      <c r="K216" s="948"/>
      <c r="L216" s="948"/>
      <c r="M216" s="948"/>
      <c r="N216" s="948"/>
      <c r="O216" s="948"/>
      <c r="P216" s="948"/>
      <c r="Q216" s="948"/>
      <c r="R216" s="948"/>
      <c r="S216" s="948"/>
      <c r="T216" s="948"/>
      <c r="U216" s="948"/>
      <c r="V216" s="948"/>
      <c r="W216" s="948"/>
      <c r="X216" s="948"/>
      <c r="Y216" s="948"/>
      <c r="Z216" s="949"/>
      <c r="AA216" s="399"/>
      <c r="AB216" s="590"/>
      <c r="AC216" s="590"/>
      <c r="AD216" s="203"/>
      <c r="AE216" s="203"/>
      <c r="AF216" s="203"/>
      <c r="AG216" s="203"/>
      <c r="AH216" s="203"/>
      <c r="AI216" s="203"/>
      <c r="AJ216" s="203"/>
      <c r="AK216" s="761"/>
    </row>
    <row r="217" spans="1:37" ht="30" customHeight="1" x14ac:dyDescent="0.25">
      <c r="A217" s="573"/>
      <c r="B217" s="606" t="s">
        <v>177</v>
      </c>
      <c r="C217" s="693"/>
      <c r="D217" s="693"/>
      <c r="E217" s="590"/>
      <c r="F217" s="590"/>
      <c r="G217" s="590"/>
      <c r="H217" s="573"/>
      <c r="I217" s="573"/>
      <c r="J217" s="573"/>
      <c r="K217" s="206"/>
      <c r="L217" s="590"/>
      <c r="M217" s="590"/>
      <c r="N217" s="926" t="s">
        <v>164</v>
      </c>
      <c r="O217" s="926"/>
      <c r="P217" s="926"/>
      <c r="Q217" s="926"/>
      <c r="R217" s="926"/>
      <c r="S217" s="590"/>
      <c r="T217" s="590"/>
      <c r="U217" s="590"/>
      <c r="V217" s="590"/>
      <c r="W217" s="590"/>
      <c r="X217" s="590"/>
      <c r="Y217" s="590"/>
      <c r="Z217" s="590"/>
      <c r="AA217" s="83"/>
      <c r="AB217" s="590"/>
      <c r="AC217" s="590"/>
      <c r="AD217" s="203"/>
      <c r="AE217" s="203"/>
      <c r="AF217" s="203"/>
      <c r="AG217" s="203"/>
      <c r="AH217" s="203"/>
      <c r="AI217" s="203"/>
      <c r="AJ217" s="203"/>
      <c r="AK217" s="761"/>
    </row>
    <row r="218" spans="1:37" ht="69.75" customHeight="1" x14ac:dyDescent="0.25">
      <c r="A218" s="573"/>
      <c r="B218" s="82"/>
      <c r="C218" s="693"/>
      <c r="D218" s="693"/>
      <c r="E218" s="936"/>
      <c r="F218" s="948"/>
      <c r="G218" s="948"/>
      <c r="H218" s="948"/>
      <c r="I218" s="948"/>
      <c r="J218" s="948"/>
      <c r="K218" s="948"/>
      <c r="L218" s="948"/>
      <c r="M218" s="948"/>
      <c r="N218" s="948"/>
      <c r="O218" s="948"/>
      <c r="P218" s="948"/>
      <c r="Q218" s="948"/>
      <c r="R218" s="948"/>
      <c r="S218" s="948"/>
      <c r="T218" s="948"/>
      <c r="U218" s="948"/>
      <c r="V218" s="948"/>
      <c r="W218" s="948"/>
      <c r="X218" s="948"/>
      <c r="Y218" s="948"/>
      <c r="Z218" s="949"/>
      <c r="AA218" s="399"/>
      <c r="AB218" s="590"/>
      <c r="AC218" s="590"/>
      <c r="AD218" s="203"/>
      <c r="AE218" s="203"/>
      <c r="AF218" s="203"/>
      <c r="AG218" s="203"/>
      <c r="AH218" s="203"/>
      <c r="AI218" s="203"/>
      <c r="AJ218" s="203"/>
      <c r="AK218" s="761"/>
    </row>
    <row r="219" spans="1:37" ht="12.75" customHeight="1" thickBot="1" x14ac:dyDescent="0.3">
      <c r="A219" s="573"/>
      <c r="B219" s="118"/>
      <c r="C219" s="119"/>
      <c r="D219" s="119"/>
      <c r="E219" s="120"/>
      <c r="F219" s="120"/>
      <c r="G219" s="120"/>
      <c r="H219" s="120"/>
      <c r="I219" s="120"/>
      <c r="J219" s="767"/>
      <c r="K219" s="767"/>
      <c r="L219" s="767"/>
      <c r="M219" s="767"/>
      <c r="N219" s="767"/>
      <c r="O219" s="767"/>
      <c r="P219" s="767"/>
      <c r="Q219" s="767"/>
      <c r="R219" s="767"/>
      <c r="S219" s="767"/>
      <c r="T219" s="767"/>
      <c r="U219" s="767"/>
      <c r="V219" s="767"/>
      <c r="W219" s="767"/>
      <c r="X219" s="767"/>
      <c r="Y219" s="767"/>
      <c r="Z219" s="767"/>
      <c r="AA219" s="400"/>
      <c r="AB219" s="590"/>
      <c r="AC219" s="590"/>
      <c r="AD219" s="203"/>
      <c r="AE219" s="203"/>
      <c r="AF219" s="203"/>
      <c r="AG219" s="203"/>
      <c r="AH219" s="203"/>
      <c r="AI219" s="203"/>
      <c r="AJ219" s="203"/>
      <c r="AK219" s="761"/>
    </row>
    <row r="220" spans="1:37" ht="30" customHeight="1" thickTop="1" x14ac:dyDescent="0.25">
      <c r="A220" s="573"/>
      <c r="B220" s="1301" t="s">
        <v>178</v>
      </c>
      <c r="C220" s="1302"/>
      <c r="D220" s="1302"/>
      <c r="E220" s="1302"/>
      <c r="F220" s="1302"/>
      <c r="G220" s="1302"/>
      <c r="H220" s="1302"/>
      <c r="I220" s="1302"/>
      <c r="J220" s="1302"/>
      <c r="K220" s="1302"/>
      <c r="L220" s="1302"/>
      <c r="M220" s="1302"/>
      <c r="N220" s="1302"/>
      <c r="O220" s="1302"/>
      <c r="P220" s="1302"/>
      <c r="Q220" s="1302"/>
      <c r="R220" s="1302"/>
      <c r="S220" s="1302"/>
      <c r="T220" s="1302"/>
      <c r="U220" s="1302"/>
      <c r="V220" s="1302"/>
      <c r="W220" s="1302"/>
      <c r="X220" s="1302"/>
      <c r="Y220" s="1302"/>
      <c r="Z220" s="1302"/>
      <c r="AA220" s="1303"/>
      <c r="AB220" s="590"/>
      <c r="AC220" s="590"/>
      <c r="AD220" s="203"/>
      <c r="AE220" s="203"/>
      <c r="AF220" s="203"/>
      <c r="AG220" s="203"/>
      <c r="AH220" s="203"/>
      <c r="AI220" s="203"/>
      <c r="AJ220" s="203"/>
      <c r="AK220" s="761"/>
    </row>
    <row r="221" spans="1:37" ht="12.75" customHeight="1" x14ac:dyDescent="0.25">
      <c r="A221" s="573"/>
      <c r="B221" s="916" t="s">
        <v>179</v>
      </c>
      <c r="C221" s="917"/>
      <c r="D221" s="917"/>
      <c r="E221" s="917"/>
      <c r="F221" s="917"/>
      <c r="G221" s="917"/>
      <c r="H221" s="917"/>
      <c r="I221" s="917"/>
      <c r="J221" s="917"/>
      <c r="K221" s="917"/>
      <c r="L221" s="917"/>
      <c r="M221" s="917"/>
      <c r="N221" s="917"/>
      <c r="O221" s="917"/>
      <c r="P221" s="917"/>
      <c r="Q221" s="917"/>
      <c r="R221" s="917"/>
      <c r="S221" s="917"/>
      <c r="T221" s="917"/>
      <c r="U221" s="917"/>
      <c r="V221" s="917"/>
      <c r="W221" s="917"/>
      <c r="X221" s="917"/>
      <c r="Y221" s="917"/>
      <c r="Z221" s="917"/>
      <c r="AA221" s="918"/>
      <c r="AB221" s="590"/>
      <c r="AC221" s="590"/>
      <c r="AD221" s="203"/>
      <c r="AE221" s="203"/>
      <c r="AF221" s="203"/>
      <c r="AG221" s="203"/>
      <c r="AH221" s="203"/>
      <c r="AI221" s="203"/>
      <c r="AJ221" s="203"/>
      <c r="AK221" s="761"/>
    </row>
    <row r="222" spans="1:37" x14ac:dyDescent="0.25">
      <c r="A222" s="573"/>
      <c r="B222" s="82"/>
      <c r="C222" s="693"/>
      <c r="D222" s="693"/>
      <c r="E222" s="693"/>
      <c r="F222" s="693"/>
      <c r="G222" s="693"/>
      <c r="H222" s="693"/>
      <c r="I222" s="693"/>
      <c r="J222" s="693"/>
      <c r="K222" s="693"/>
      <c r="L222" s="693"/>
      <c r="M222" s="693"/>
      <c r="N222" s="693"/>
      <c r="O222" s="693"/>
      <c r="P222" s="693"/>
      <c r="Q222" s="693"/>
      <c r="R222" s="693"/>
      <c r="S222" s="693"/>
      <c r="T222" s="693"/>
      <c r="U222" s="693"/>
      <c r="V222" s="693"/>
      <c r="W222" s="693"/>
      <c r="X222" s="693"/>
      <c r="Y222" s="693"/>
      <c r="Z222" s="693"/>
      <c r="AA222" s="83"/>
      <c r="AB222" s="590"/>
      <c r="AC222" s="590"/>
      <c r="AD222" s="203"/>
      <c r="AE222" s="203"/>
      <c r="AF222" s="203"/>
      <c r="AG222" s="203"/>
      <c r="AH222" s="203"/>
      <c r="AI222" s="203"/>
      <c r="AJ222" s="203"/>
      <c r="AK222" s="761"/>
    </row>
    <row r="223" spans="1:37" x14ac:dyDescent="0.25">
      <c r="A223" s="573"/>
      <c r="B223" s="881" t="s">
        <v>180</v>
      </c>
      <c r="C223" s="882"/>
      <c r="D223" s="882"/>
      <c r="E223" s="882"/>
      <c r="F223" s="882"/>
      <c r="G223" s="90" t="str">
        <f>IF(ISBLANK(G224),"x","")</f>
        <v>x</v>
      </c>
      <c r="H223" s="609" t="s">
        <v>181</v>
      </c>
      <c r="I223" s="620"/>
      <c r="J223" s="620"/>
      <c r="K223" s="620"/>
      <c r="L223" s="620"/>
      <c r="M223" s="620"/>
      <c r="N223" s="620"/>
      <c r="O223" s="620"/>
      <c r="P223" s="620"/>
      <c r="Q223" s="620"/>
      <c r="R223" s="620"/>
      <c r="S223" s="620"/>
      <c r="T223" s="620"/>
      <c r="U223" s="620"/>
      <c r="V223" s="620"/>
      <c r="W223" s="620"/>
      <c r="X223" s="620"/>
      <c r="Y223" s="265"/>
      <c r="Z223" s="265"/>
      <c r="AA223" s="747"/>
      <c r="AB223" s="590"/>
      <c r="AC223" s="590"/>
      <c r="AD223" s="203"/>
      <c r="AE223" s="203"/>
      <c r="AF223" s="203"/>
      <c r="AG223" s="203"/>
      <c r="AH223" s="203"/>
      <c r="AI223" s="203"/>
      <c r="AJ223" s="203"/>
      <c r="AK223" s="761"/>
    </row>
    <row r="224" spans="1:37" x14ac:dyDescent="0.25">
      <c r="A224" s="573"/>
      <c r="B224" s="213" t="s">
        <v>182</v>
      </c>
      <c r="C224" s="265"/>
      <c r="D224" s="265"/>
      <c r="E224" s="265"/>
      <c r="F224" s="265"/>
      <c r="G224" s="165"/>
      <c r="H224" s="609" t="s">
        <v>183</v>
      </c>
      <c r="I224" s="620"/>
      <c r="J224" s="620"/>
      <c r="K224" s="620"/>
      <c r="L224" s="620"/>
      <c r="M224" s="620"/>
      <c r="N224" s="620"/>
      <c r="O224" s="620"/>
      <c r="P224" s="620"/>
      <c r="Q224" s="620"/>
      <c r="R224" s="620"/>
      <c r="S224" s="620"/>
      <c r="T224" s="620"/>
      <c r="U224" s="620"/>
      <c r="V224" s="620"/>
      <c r="W224" s="620"/>
      <c r="X224" s="620"/>
      <c r="Y224" s="265"/>
      <c r="Z224" s="265"/>
      <c r="AA224" s="747"/>
      <c r="AB224" s="590"/>
      <c r="AC224" s="590"/>
      <c r="AD224" s="206"/>
      <c r="AE224" s="206"/>
      <c r="AF224" s="206"/>
      <c r="AG224" s="206"/>
      <c r="AH224" s="206"/>
      <c r="AI224" s="206"/>
      <c r="AJ224" s="206"/>
      <c r="AK224" s="761"/>
    </row>
    <row r="225" spans="1:29" x14ac:dyDescent="0.25">
      <c r="A225" s="573"/>
      <c r="B225" s="213"/>
      <c r="C225" s="265"/>
      <c r="D225" s="265"/>
      <c r="E225" s="265"/>
      <c r="F225" s="265"/>
      <c r="G225" s="99">
        <f>IF(AND(ISBLANK(G223),ISBLANK(G224)),0,IF(OR(AND(NOT(ISBLANK(G223)),ISBLANK(G224)),AND(NOT(ISBLANK(G224)),ISBLANK(G223))),1,2))</f>
        <v>1</v>
      </c>
      <c r="H225" s="609"/>
      <c r="I225" s="620"/>
      <c r="J225" s="620"/>
      <c r="K225" s="620"/>
      <c r="L225" s="620"/>
      <c r="M225" s="620"/>
      <c r="N225" s="620"/>
      <c r="O225" s="620"/>
      <c r="P225" s="620"/>
      <c r="Q225" s="620"/>
      <c r="R225" s="620"/>
      <c r="S225" s="620"/>
      <c r="T225" s="620"/>
      <c r="U225" s="620"/>
      <c r="V225" s="620"/>
      <c r="W225" s="620"/>
      <c r="X225" s="620"/>
      <c r="Y225" s="265"/>
      <c r="Z225" s="265"/>
      <c r="AA225" s="747"/>
      <c r="AB225" s="590"/>
      <c r="AC225" s="590"/>
    </row>
    <row r="226" spans="1:29" x14ac:dyDescent="0.25">
      <c r="A226" s="573"/>
      <c r="B226" s="89" t="s">
        <v>184</v>
      </c>
      <c r="C226" s="265"/>
      <c r="D226" s="265"/>
      <c r="E226" s="265"/>
      <c r="F226" s="265"/>
      <c r="G226" s="90" t="str">
        <f>IF(AND(ISBLANK(G227),ISBLANK(G228)),"x","")</f>
        <v>x</v>
      </c>
      <c r="H226" s="609" t="s">
        <v>185</v>
      </c>
      <c r="I226" s="620"/>
      <c r="J226" s="620"/>
      <c r="K226" s="265"/>
      <c r="L226" s="735"/>
      <c r="M226" s="620"/>
      <c r="N226" s="620"/>
      <c r="O226" s="620"/>
      <c r="P226" s="620"/>
      <c r="Q226" s="620"/>
      <c r="R226" s="620"/>
      <c r="S226" s="620"/>
      <c r="T226" s="620"/>
      <c r="U226" s="620"/>
      <c r="V226" s="620"/>
      <c r="W226" s="620"/>
      <c r="X226" s="620"/>
      <c r="Y226" s="265"/>
      <c r="Z226" s="265"/>
      <c r="AA226" s="747"/>
      <c r="AB226" s="590"/>
      <c r="AC226" s="590"/>
    </row>
    <row r="227" spans="1:29" x14ac:dyDescent="0.25">
      <c r="A227" s="573"/>
      <c r="B227" s="213" t="str">
        <f>IF(G229=2,"  Error-2 Checked","  (Check One)")</f>
        <v xml:space="preserve">  (Check One)</v>
      </c>
      <c r="C227" s="265"/>
      <c r="D227" s="265"/>
      <c r="E227" s="265"/>
      <c r="F227" s="265"/>
      <c r="G227" s="165"/>
      <c r="H227" s="609" t="s">
        <v>186</v>
      </c>
      <c r="I227" s="620"/>
      <c r="J227" s="620"/>
      <c r="K227" s="265"/>
      <c r="L227" s="265"/>
      <c r="M227" s="265"/>
      <c r="N227" s="620"/>
      <c r="O227" s="620"/>
      <c r="P227" s="620"/>
      <c r="Q227" s="265"/>
      <c r="R227" s="620"/>
      <c r="S227" s="620"/>
      <c r="T227" s="620"/>
      <c r="U227" s="620"/>
      <c r="V227" s="620"/>
      <c r="W227" s="620"/>
      <c r="X227" s="620"/>
      <c r="Y227" s="265"/>
      <c r="Z227" s="265"/>
      <c r="AA227" s="747"/>
      <c r="AB227" s="590"/>
      <c r="AC227" s="590"/>
    </row>
    <row r="228" spans="1:29" x14ac:dyDescent="0.25">
      <c r="A228" s="573"/>
      <c r="B228" s="213"/>
      <c r="C228" s="265"/>
      <c r="D228" s="265"/>
      <c r="E228" s="265"/>
      <c r="F228" s="265"/>
      <c r="G228" s="165"/>
      <c r="H228" s="100" t="s">
        <v>187</v>
      </c>
      <c r="I228" s="620"/>
      <c r="J228" s="620"/>
      <c r="K228" s="265"/>
      <c r="L228" s="265"/>
      <c r="M228" s="265"/>
      <c r="N228" s="620"/>
      <c r="O228" s="620"/>
      <c r="P228" s="620"/>
      <c r="Q228" s="265"/>
      <c r="R228" s="620"/>
      <c r="S228" s="620"/>
      <c r="T228" s="620"/>
      <c r="U228" s="620"/>
      <c r="V228" s="620"/>
      <c r="W228" s="620"/>
      <c r="X228" s="620"/>
      <c r="Y228" s="265"/>
      <c r="Z228" s="265"/>
      <c r="AA228" s="747"/>
      <c r="AB228" s="590"/>
      <c r="AC228" s="590"/>
    </row>
    <row r="229" spans="1:29" x14ac:dyDescent="0.25">
      <c r="A229" s="573"/>
      <c r="B229" s="213"/>
      <c r="C229" s="265"/>
      <c r="D229" s="265"/>
      <c r="E229" s="265"/>
      <c r="F229" s="265"/>
      <c r="G229" s="99">
        <f>IF(AND(ISBLANK(G227),ISBLANK(G228)),0,IF(OR(AND(NOT(ISBLANK(G227)),ISBLANK(G228)),AND(ISBLANK(G227),ISBLANK(G228)),AND(NOT(ISBLANK(G228)),ISBLANK(G227))),1,2))</f>
        <v>0</v>
      </c>
      <c r="H229" s="609"/>
      <c r="I229" s="620"/>
      <c r="J229" s="620"/>
      <c r="K229" s="155"/>
      <c r="L229" s="627"/>
      <c r="M229" s="573"/>
      <c r="N229" s="573"/>
      <c r="O229" s="573"/>
      <c r="P229" s="573"/>
      <c r="Q229" s="573"/>
      <c r="R229" s="573"/>
      <c r="S229" s="573"/>
      <c r="T229" s="573"/>
      <c r="U229" s="573"/>
      <c r="V229" s="573"/>
      <c r="W229" s="620"/>
      <c r="X229" s="620"/>
      <c r="Y229" s="265"/>
      <c r="Z229" s="265"/>
      <c r="AA229" s="747"/>
      <c r="AB229" s="590"/>
      <c r="AC229" s="590"/>
    </row>
    <row r="230" spans="1:29" x14ac:dyDescent="0.25">
      <c r="A230" s="573"/>
      <c r="B230" s="213"/>
      <c r="C230" s="265"/>
      <c r="D230" s="265"/>
      <c r="E230" s="265"/>
      <c r="F230" s="265"/>
      <c r="G230" s="99"/>
      <c r="H230" s="609"/>
      <c r="I230" s="620"/>
      <c r="J230" s="620"/>
      <c r="K230" s="155"/>
      <c r="L230" s="627"/>
      <c r="M230" s="573"/>
      <c r="N230" s="573"/>
      <c r="O230" s="573"/>
      <c r="P230" s="573"/>
      <c r="Q230" s="573"/>
      <c r="R230" s="573"/>
      <c r="S230" s="573"/>
      <c r="T230" s="573"/>
      <c r="U230" s="573"/>
      <c r="V230" s="573"/>
      <c r="W230" s="620"/>
      <c r="X230" s="620"/>
      <c r="Y230" s="265"/>
      <c r="Z230" s="265"/>
      <c r="AA230" s="747"/>
      <c r="AB230" s="590"/>
      <c r="AC230" s="590"/>
    </row>
    <row r="231" spans="1:29" x14ac:dyDescent="0.25">
      <c r="A231" s="573"/>
      <c r="B231" s="1277" t="s">
        <v>188</v>
      </c>
      <c r="C231" s="1307"/>
      <c r="D231" s="1307"/>
      <c r="E231" s="1307"/>
      <c r="F231" s="1307"/>
      <c r="G231" s="1307"/>
      <c r="H231" s="1308"/>
      <c r="I231" s="1304" t="str">
        <f>Petitioner</f>
        <v/>
      </c>
      <c r="J231" s="1305"/>
      <c r="K231" s="1305"/>
      <c r="L231" s="1305"/>
      <c r="M231" s="1305"/>
      <c r="N231" s="1305"/>
      <c r="O231" s="1305"/>
      <c r="P231" s="1306"/>
      <c r="Q231" s="887" t="s">
        <v>189</v>
      </c>
      <c r="R231" s="1297"/>
      <c r="S231" s="1297"/>
      <c r="T231" s="1297"/>
      <c r="U231" s="1298"/>
      <c r="V231" s="1299"/>
      <c r="W231" s="1299"/>
      <c r="X231" s="1299"/>
      <c r="Y231" s="1299"/>
      <c r="Z231" s="1300"/>
      <c r="AA231" s="747"/>
      <c r="AB231" s="590"/>
      <c r="AC231" s="590"/>
    </row>
    <row r="232" spans="1:29" x14ac:dyDescent="0.25">
      <c r="A232" s="573"/>
      <c r="B232" s="167"/>
      <c r="C232" s="265"/>
      <c r="D232" s="206"/>
      <c r="E232" s="573"/>
      <c r="F232" s="573"/>
      <c r="G232" s="573"/>
      <c r="H232" s="573"/>
      <c r="I232" s="350"/>
      <c r="J232" s="636" t="s">
        <v>190</v>
      </c>
      <c r="K232" s="656"/>
      <c r="L232" s="656"/>
      <c r="M232" s="656"/>
      <c r="N232" s="656"/>
      <c r="O232" s="656"/>
      <c r="P232" s="656"/>
      <c r="Q232" s="152"/>
      <c r="R232" s="653"/>
      <c r="S232" s="653"/>
      <c r="T232" s="653"/>
      <c r="U232" s="351"/>
      <c r="V232" s="351"/>
      <c r="W232" s="351"/>
      <c r="X232" s="351"/>
      <c r="Y232" s="351"/>
      <c r="Z232" s="351"/>
      <c r="AA232" s="747"/>
      <c r="AB232" s="590"/>
      <c r="AC232" s="590"/>
    </row>
    <row r="233" spans="1:29" x14ac:dyDescent="0.25">
      <c r="A233" s="573"/>
      <c r="B233" s="213" t="str">
        <f>IF(G237=2,"  Error-2 Checked","  (Check One)")</f>
        <v xml:space="preserve">  (Check One)</v>
      </c>
      <c r="C233" s="265"/>
      <c r="D233" s="265"/>
      <c r="E233" s="265"/>
      <c r="F233" s="265"/>
      <c r="G233" s="90" t="str">
        <f>IF(AND(ISBLANK(G234),ISBLANK(G235),ISBLANK(G236)),"x","")</f>
        <v>x</v>
      </c>
      <c r="H233" s="619" t="s">
        <v>191</v>
      </c>
      <c r="I233" s="609"/>
      <c r="J233" s="609"/>
      <c r="K233" s="609"/>
      <c r="L233" s="609"/>
      <c r="M233" s="609"/>
      <c r="N233" s="609"/>
      <c r="O233" s="609"/>
      <c r="P233" s="609"/>
      <c r="Q233" s="609"/>
      <c r="R233" s="609"/>
      <c r="S233" s="609"/>
      <c r="T233" s="609"/>
      <c r="U233" s="609"/>
      <c r="V233" s="609"/>
      <c r="W233" s="609"/>
      <c r="X233" s="609"/>
      <c r="Y233" s="737"/>
      <c r="Z233" s="737"/>
      <c r="AA233" s="577"/>
      <c r="AB233" s="590"/>
      <c r="AC233" s="590"/>
    </row>
    <row r="234" spans="1:29" x14ac:dyDescent="0.25">
      <c r="A234" s="573"/>
      <c r="B234" s="213"/>
      <c r="C234" s="265"/>
      <c r="D234" s="265"/>
      <c r="E234" s="265"/>
      <c r="F234" s="265"/>
      <c r="G234" s="165"/>
      <c r="H234" s="619" t="s">
        <v>192</v>
      </c>
      <c r="I234" s="609"/>
      <c r="J234" s="609"/>
      <c r="K234" s="609"/>
      <c r="L234" s="609"/>
      <c r="M234" s="609"/>
      <c r="N234" s="611"/>
      <c r="O234" s="114"/>
      <c r="P234" s="114"/>
      <c r="Q234" s="114"/>
      <c r="R234" s="737"/>
      <c r="S234" s="355"/>
      <c r="T234" s="737"/>
      <c r="U234" s="737"/>
      <c r="V234" s="737"/>
      <c r="W234" s="737"/>
      <c r="X234" s="355"/>
      <c r="Y234" s="737"/>
      <c r="Z234" s="737"/>
      <c r="AA234" s="577"/>
      <c r="AB234" s="590"/>
      <c r="AC234" s="590"/>
    </row>
    <row r="235" spans="1:29" x14ac:dyDescent="0.25">
      <c r="A235" s="573"/>
      <c r="B235" s="213"/>
      <c r="C235" s="265"/>
      <c r="D235" s="265"/>
      <c r="E235" s="265"/>
      <c r="F235" s="265"/>
      <c r="G235" s="165"/>
      <c r="H235" s="619" t="s">
        <v>193</v>
      </c>
      <c r="I235" s="642"/>
      <c r="J235" s="642"/>
      <c r="K235" s="642"/>
      <c r="L235" s="642"/>
      <c r="M235" s="642"/>
      <c r="N235" s="642"/>
      <c r="O235" s="642"/>
      <c r="P235" s="642"/>
      <c r="Q235" s="642"/>
      <c r="R235" s="642"/>
      <c r="S235" s="642"/>
      <c r="T235" s="642"/>
      <c r="U235" s="642"/>
      <c r="V235" s="642"/>
      <c r="W235" s="642"/>
      <c r="X235" s="642"/>
      <c r="Y235" s="611"/>
      <c r="Z235" s="265"/>
      <c r="AA235" s="612"/>
      <c r="AB235" s="590"/>
      <c r="AC235" s="590"/>
    </row>
    <row r="236" spans="1:29" x14ac:dyDescent="0.25">
      <c r="A236" s="573"/>
      <c r="B236" s="213"/>
      <c r="C236" s="265"/>
      <c r="D236" s="265"/>
      <c r="E236" s="265"/>
      <c r="F236" s="265"/>
      <c r="G236" s="165"/>
      <c r="H236" s="609" t="s">
        <v>194</v>
      </c>
      <c r="I236" s="737"/>
      <c r="J236" s="737"/>
      <c r="K236" s="737"/>
      <c r="L236" s="737"/>
      <c r="M236" s="737"/>
      <c r="N236" s="737"/>
      <c r="O236" s="737"/>
      <c r="P236" s="737"/>
      <c r="Q236" s="737"/>
      <c r="R236" s="737"/>
      <c r="S236" s="737"/>
      <c r="T236" s="737"/>
      <c r="U236" s="737"/>
      <c r="V236" s="737"/>
      <c r="W236" s="737"/>
      <c r="X236" s="737"/>
      <c r="Y236" s="737"/>
      <c r="Z236" s="737"/>
      <c r="AA236" s="577"/>
      <c r="AB236" s="590"/>
      <c r="AC236" s="590"/>
    </row>
    <row r="237" spans="1:29" x14ac:dyDescent="0.25">
      <c r="A237" s="573"/>
      <c r="B237" s="213"/>
      <c r="C237" s="265"/>
      <c r="D237" s="265"/>
      <c r="E237" s="265"/>
      <c r="F237" s="265"/>
      <c r="G237" s="99">
        <f>IF(AND(ISBLANK(G234),ISBLANK(G235),ISBLANK(G236)),0,IF(OR(AND(NOT(ISBLANK(G234)),ISBLANK(G235),ISBLANK(G236)),AND(NOT(ISBLANK(G235)),ISBLANK(G234),ISBLANK(G236)),AND(NOT(ISBLANK(G236)),ISBLANK(G234),ISBLANK(G235))),1,2))</f>
        <v>0</v>
      </c>
      <c r="H237" s="265"/>
      <c r="I237" s="265"/>
      <c r="J237" s="265"/>
      <c r="K237" s="265"/>
      <c r="L237" s="265"/>
      <c r="M237" s="265"/>
      <c r="N237" s="265"/>
      <c r="O237" s="265"/>
      <c r="P237" s="265"/>
      <c r="Q237" s="265"/>
      <c r="R237" s="265"/>
      <c r="S237" s="265"/>
      <c r="T237" s="265"/>
      <c r="U237" s="265"/>
      <c r="V237" s="265"/>
      <c r="W237" s="265"/>
      <c r="X237" s="265"/>
      <c r="Y237" s="265"/>
      <c r="Z237" s="265"/>
      <c r="AA237" s="747"/>
      <c r="AB237" s="590"/>
      <c r="AC237" s="590"/>
    </row>
    <row r="238" spans="1:29" x14ac:dyDescent="0.25">
      <c r="A238" s="573"/>
      <c r="B238" s="897" t="s">
        <v>195</v>
      </c>
      <c r="C238" s="1296"/>
      <c r="D238" s="1296"/>
      <c r="E238" s="1296"/>
      <c r="F238" s="1296"/>
      <c r="G238" s="1296"/>
      <c r="H238" s="1134"/>
      <c r="I238" s="1385" t="str">
        <f>Respondent</f>
        <v/>
      </c>
      <c r="J238" s="1386"/>
      <c r="K238" s="1386"/>
      <c r="L238" s="1386"/>
      <c r="M238" s="1386"/>
      <c r="N238" s="1386"/>
      <c r="O238" s="1386"/>
      <c r="P238" s="1387"/>
      <c r="Q238" s="887" t="s">
        <v>189</v>
      </c>
      <c r="R238" s="1297"/>
      <c r="S238" s="1297"/>
      <c r="T238" s="1297"/>
      <c r="U238" s="1298"/>
      <c r="V238" s="1299"/>
      <c r="W238" s="1299"/>
      <c r="X238" s="1299"/>
      <c r="Y238" s="1299"/>
      <c r="Z238" s="1300"/>
      <c r="AA238" s="747"/>
      <c r="AB238" s="590"/>
      <c r="AC238" s="590"/>
    </row>
    <row r="239" spans="1:29" x14ac:dyDescent="0.25">
      <c r="A239" s="573"/>
      <c r="B239" s="619"/>
      <c r="C239" s="620"/>
      <c r="D239" s="620"/>
      <c r="E239" s="620"/>
      <c r="F239" s="620"/>
      <c r="G239" s="620"/>
      <c r="H239" s="735"/>
      <c r="I239" s="350"/>
      <c r="J239" s="636" t="s">
        <v>190</v>
      </c>
      <c r="K239" s="38"/>
      <c r="L239" s="38"/>
      <c r="M239" s="38"/>
      <c r="N239" s="38"/>
      <c r="O239" s="38"/>
      <c r="P239" s="38"/>
      <c r="Q239" s="626"/>
      <c r="R239" s="653"/>
      <c r="S239" s="653"/>
      <c r="T239" s="653"/>
      <c r="U239" s="573"/>
      <c r="V239" s="573"/>
      <c r="W239" s="351"/>
      <c r="X239" s="351"/>
      <c r="Y239" s="351"/>
      <c r="Z239" s="351"/>
      <c r="AA239" s="747"/>
      <c r="AB239" s="590"/>
      <c r="AC239" s="590"/>
    </row>
    <row r="240" spans="1:29" x14ac:dyDescent="0.25">
      <c r="A240" s="573"/>
      <c r="B240" s="213" t="str">
        <f>IF(G244=2,"  Error-2 Checked","  (Check One)")</f>
        <v xml:space="preserve">  (Check One)</v>
      </c>
      <c r="C240" s="265"/>
      <c r="D240" s="265"/>
      <c r="E240" s="265"/>
      <c r="F240" s="265"/>
      <c r="G240" s="90" t="str">
        <f>IF(AND(ISBLANK(G241),ISBLANK(G242),ISBLANK(G243)),"x","")</f>
        <v>x</v>
      </c>
      <c r="H240" s="619" t="s">
        <v>191</v>
      </c>
      <c r="I240" s="609"/>
      <c r="J240" s="609"/>
      <c r="K240" s="609"/>
      <c r="L240" s="609"/>
      <c r="M240" s="609"/>
      <c r="N240" s="609"/>
      <c r="O240" s="609"/>
      <c r="P240" s="609"/>
      <c r="Q240" s="609"/>
      <c r="R240" s="636"/>
      <c r="S240" s="636"/>
      <c r="T240" s="636"/>
      <c r="U240" s="636"/>
      <c r="V240" s="636"/>
      <c r="W240" s="636"/>
      <c r="X240" s="636"/>
      <c r="Y240" s="655"/>
      <c r="Z240" s="655"/>
      <c r="AA240" s="577"/>
      <c r="AB240" s="590"/>
      <c r="AC240" s="590"/>
    </row>
    <row r="241" spans="1:29" x14ac:dyDescent="0.25">
      <c r="A241" s="573"/>
      <c r="B241" s="213"/>
      <c r="C241" s="265"/>
      <c r="D241" s="265"/>
      <c r="E241" s="265"/>
      <c r="F241" s="265"/>
      <c r="G241" s="165"/>
      <c r="H241" s="619" t="s">
        <v>192</v>
      </c>
      <c r="I241" s="609"/>
      <c r="J241" s="609"/>
      <c r="K241" s="609"/>
      <c r="L241" s="609"/>
      <c r="M241" s="609"/>
      <c r="N241" s="611"/>
      <c r="O241" s="114"/>
      <c r="P241" s="114"/>
      <c r="Q241" s="114"/>
      <c r="R241" s="737"/>
      <c r="S241" s="355"/>
      <c r="T241" s="737"/>
      <c r="U241" s="737"/>
      <c r="V241" s="737"/>
      <c r="W241" s="737"/>
      <c r="X241" s="355"/>
      <c r="Y241" s="737"/>
      <c r="Z241" s="737"/>
      <c r="AA241" s="577"/>
      <c r="AB241" s="590"/>
      <c r="AC241" s="590"/>
    </row>
    <row r="242" spans="1:29" x14ac:dyDescent="0.25">
      <c r="A242" s="573"/>
      <c r="B242" s="213"/>
      <c r="C242" s="265"/>
      <c r="D242" s="265"/>
      <c r="E242" s="265"/>
      <c r="F242" s="265"/>
      <c r="G242" s="165"/>
      <c r="H242" s="619" t="s">
        <v>193</v>
      </c>
      <c r="I242" s="642"/>
      <c r="J242" s="642"/>
      <c r="K242" s="642"/>
      <c r="L242" s="642"/>
      <c r="M242" s="642"/>
      <c r="N242" s="642"/>
      <c r="O242" s="642"/>
      <c r="P242" s="642"/>
      <c r="Q242" s="642"/>
      <c r="R242" s="642"/>
      <c r="S242" s="642"/>
      <c r="T242" s="642"/>
      <c r="U242" s="642"/>
      <c r="V242" s="642"/>
      <c r="W242" s="642"/>
      <c r="X242" s="642"/>
      <c r="Y242" s="611"/>
      <c r="Z242" s="265"/>
      <c r="AA242" s="612"/>
      <c r="AB242" s="590"/>
      <c r="AC242" s="590"/>
    </row>
    <row r="243" spans="1:29" x14ac:dyDescent="0.25">
      <c r="A243" s="573"/>
      <c r="B243" s="213"/>
      <c r="C243" s="265"/>
      <c r="D243" s="265"/>
      <c r="E243" s="265"/>
      <c r="F243" s="265"/>
      <c r="G243" s="165"/>
      <c r="H243" s="609" t="s">
        <v>194</v>
      </c>
      <c r="I243" s="737"/>
      <c r="J243" s="737"/>
      <c r="K243" s="737"/>
      <c r="L243" s="737"/>
      <c r="M243" s="737"/>
      <c r="N243" s="737"/>
      <c r="O243" s="737"/>
      <c r="P243" s="737"/>
      <c r="Q243" s="737"/>
      <c r="R243" s="737"/>
      <c r="S243" s="737"/>
      <c r="T243" s="737"/>
      <c r="U243" s="737"/>
      <c r="V243" s="737"/>
      <c r="W243" s="737"/>
      <c r="X243" s="737"/>
      <c r="Y243" s="737"/>
      <c r="Z243" s="737"/>
      <c r="AA243" s="577"/>
      <c r="AB243" s="590"/>
      <c r="AC243" s="590"/>
    </row>
    <row r="244" spans="1:29" x14ac:dyDescent="0.25">
      <c r="A244" s="573"/>
      <c r="B244" s="213"/>
      <c r="C244" s="265"/>
      <c r="D244" s="265"/>
      <c r="E244" s="265"/>
      <c r="F244" s="265"/>
      <c r="G244" s="99">
        <f>IF(AND(ISBLANK(G241),ISBLANK(G242),ISBLANK(G243)),0,IF(OR(AND(NOT(ISBLANK(G241)),ISBLANK(G242),ISBLANK(G243)),AND(NOT(ISBLANK(G242)),ISBLANK(G241),ISBLANK(G243)),AND(NOT(ISBLANK(G243)),ISBLANK(G241),ISBLANK(G242))),1,2))</f>
        <v>0</v>
      </c>
      <c r="H244" s="265"/>
      <c r="I244" s="265"/>
      <c r="J244" s="265"/>
      <c r="K244" s="265"/>
      <c r="L244" s="265"/>
      <c r="M244" s="265"/>
      <c r="N244" s="265"/>
      <c r="O244" s="265"/>
      <c r="P244" s="265"/>
      <c r="Q244" s="265"/>
      <c r="R244" s="265"/>
      <c r="S244" s="265"/>
      <c r="T244" s="265"/>
      <c r="U244" s="265"/>
      <c r="V244" s="265"/>
      <c r="W244" s="265"/>
      <c r="X244" s="265"/>
      <c r="Y244" s="265"/>
      <c r="Z244" s="265"/>
      <c r="AA244" s="747"/>
      <c r="AB244" s="590"/>
      <c r="AC244" s="590"/>
    </row>
    <row r="245" spans="1:29" s="172" customFormat="1" ht="20.25" customHeight="1" x14ac:dyDescent="0.25">
      <c r="A245" s="751"/>
      <c r="B245" s="910" t="str">
        <f>IF(NOT(ISBLANK(T245))," Presumptive Parent (Spouse)"," Presumptive Father (Husband):")</f>
        <v xml:space="preserve"> Presumptive Father (Husband):</v>
      </c>
      <c r="C245" s="872"/>
      <c r="D245" s="872"/>
      <c r="E245" s="872"/>
      <c r="F245" s="872"/>
      <c r="G245" s="872"/>
      <c r="H245" s="872"/>
      <c r="I245" s="911"/>
      <c r="J245" s="1293"/>
      <c r="K245" s="1294"/>
      <c r="L245" s="1294"/>
      <c r="M245" s="1294"/>
      <c r="N245" s="1294"/>
      <c r="O245" s="1294"/>
      <c r="P245" s="1294"/>
      <c r="Q245" s="1294"/>
      <c r="R245" s="1295"/>
      <c r="S245" s="752"/>
      <c r="T245" s="342"/>
      <c r="U245" s="622" t="s">
        <v>196</v>
      </c>
      <c r="V245" s="752"/>
      <c r="W245" s="752"/>
      <c r="X245" s="752"/>
      <c r="Y245" s="752"/>
      <c r="Z245" s="752"/>
      <c r="AA245" s="768"/>
      <c r="AB245" s="590"/>
      <c r="AC245" s="590"/>
    </row>
    <row r="246" spans="1:29" x14ac:dyDescent="0.25">
      <c r="A246" s="573"/>
      <c r="B246" s="213" t="str">
        <f>IF(G249=2,"  Error-2 Checked","  (Check One)")</f>
        <v xml:space="preserve">  (Check One)</v>
      </c>
      <c r="C246" s="265"/>
      <c r="D246" s="265"/>
      <c r="E246" s="265"/>
      <c r="F246" s="265"/>
      <c r="G246" s="90" t="str">
        <f>IF(AND(ISBLANK(J245),ISBLANK(G247),ISBLANK(G248)),"x","")</f>
        <v>x</v>
      </c>
      <c r="H246" s="75" t="str">
        <f>IF(NOT(ISBLANK(T245)),"There is no Presumptive Parent.","There is no Presumptive Father.")</f>
        <v>There is no Presumptive Father.</v>
      </c>
      <c r="I246" s="265"/>
      <c r="J246" s="265"/>
      <c r="K246" s="265"/>
      <c r="L246" s="265"/>
      <c r="M246" s="265"/>
      <c r="N246" s="265"/>
      <c r="O246" s="265"/>
      <c r="P246" s="265"/>
      <c r="Q246" s="265"/>
      <c r="R246" s="265"/>
      <c r="S246" s="265"/>
      <c r="T246" s="265"/>
      <c r="U246" s="265"/>
      <c r="V246" s="265"/>
      <c r="W246" s="265"/>
      <c r="X246" s="265"/>
      <c r="Y246" s="265"/>
      <c r="Z246" s="265"/>
      <c r="AA246" s="747"/>
      <c r="AB246" s="590"/>
      <c r="AC246" s="590"/>
    </row>
    <row r="247" spans="1:29" x14ac:dyDescent="0.25">
      <c r="A247" s="573"/>
      <c r="B247" s="213"/>
      <c r="C247" s="265"/>
      <c r="D247" s="265"/>
      <c r="E247" s="265"/>
      <c r="F247" s="265"/>
      <c r="G247" s="165"/>
      <c r="H247" s="75" t="str">
        <f>IF(NOT(ISBLANK(T245)),"Presumption rebutted by evidence--Is not the Parent.","Presumption rebutted by evidence--He's not the Father.")</f>
        <v>Presumption rebutted by evidence--He's not the Father.</v>
      </c>
      <c r="I247" s="265"/>
      <c r="J247" s="265"/>
      <c r="K247" s="265"/>
      <c r="L247" s="265"/>
      <c r="M247" s="265"/>
      <c r="N247" s="265"/>
      <c r="O247" s="265"/>
      <c r="P247" s="265"/>
      <c r="Q247" s="265"/>
      <c r="R247" s="265"/>
      <c r="S247" s="265"/>
      <c r="T247" s="265"/>
      <c r="U247" s="265"/>
      <c r="V247" s="265"/>
      <c r="W247" s="265"/>
      <c r="X247" s="265"/>
      <c r="Y247" s="265"/>
      <c r="Z247" s="265"/>
      <c r="AA247" s="747"/>
      <c r="AB247" s="590"/>
      <c r="AC247" s="590"/>
    </row>
    <row r="248" spans="1:29" x14ac:dyDescent="0.25">
      <c r="A248" s="573"/>
      <c r="B248" s="213"/>
      <c r="C248" s="265"/>
      <c r="D248" s="265"/>
      <c r="E248" s="265"/>
      <c r="F248" s="265"/>
      <c r="G248" s="165"/>
      <c r="H248" s="75" t="str">
        <f>IF(NOT(ISBLANK(T245)),"Spouse will sign Order of non-paternity &amp; waive rights.","Husband will sign Order of non-paternity &amp; waive rights.")</f>
        <v>Husband will sign Order of non-paternity &amp; waive rights.</v>
      </c>
      <c r="I248" s="265"/>
      <c r="J248" s="265"/>
      <c r="K248" s="265"/>
      <c r="L248" s="265"/>
      <c r="M248" s="265"/>
      <c r="N248" s="265"/>
      <c r="O248" s="265"/>
      <c r="P248" s="265"/>
      <c r="Q248" s="265"/>
      <c r="R248" s="265"/>
      <c r="S248" s="265"/>
      <c r="T248" s="265"/>
      <c r="U248" s="265"/>
      <c r="V248" s="265"/>
      <c r="W248" s="265"/>
      <c r="X248" s="265"/>
      <c r="Y248" s="265"/>
      <c r="Z248" s="265"/>
      <c r="AA248" s="747"/>
      <c r="AB248" s="590"/>
      <c r="AC248" s="590"/>
    </row>
    <row r="249" spans="1:29" x14ac:dyDescent="0.25">
      <c r="A249" s="573"/>
      <c r="B249" s="213"/>
      <c r="C249" s="265"/>
      <c r="D249" s="265"/>
      <c r="E249" s="265"/>
      <c r="F249" s="265"/>
      <c r="G249" s="99">
        <f>IF(AND(ISBLANK(G247),ISBLANK(G248)),0,IF(OR(AND(NOT(ISBLANK(G247)),ISBLANK(G248)),AND(NOT(ISBLANK(G248)),ISBLANK(G247))),1,2))</f>
        <v>0</v>
      </c>
      <c r="H249" s="265"/>
      <c r="I249" s="265"/>
      <c r="J249" s="265"/>
      <c r="K249" s="265"/>
      <c r="L249" s="265"/>
      <c r="M249" s="265"/>
      <c r="N249" s="265"/>
      <c r="O249" s="265"/>
      <c r="P249" s="265"/>
      <c r="Q249" s="265"/>
      <c r="R249" s="265"/>
      <c r="S249" s="265"/>
      <c r="T249" s="265"/>
      <c r="U249" s="265"/>
      <c r="V249" s="265"/>
      <c r="W249" s="265"/>
      <c r="X249" s="265"/>
      <c r="Y249" s="265"/>
      <c r="Z249" s="265"/>
      <c r="AA249" s="747"/>
      <c r="AB249" s="590"/>
      <c r="AC249" s="590"/>
    </row>
    <row r="250" spans="1:29" x14ac:dyDescent="0.25">
      <c r="A250" s="573"/>
      <c r="B250" s="881" t="s">
        <v>197</v>
      </c>
      <c r="C250" s="882"/>
      <c r="D250" s="882"/>
      <c r="E250" s="882"/>
      <c r="F250" s="882"/>
      <c r="G250" s="90" t="str">
        <f>IF(AND(ISBLANK(G251),ISBLANK(G252),ISBLANK(G253)),"x","")</f>
        <v>x</v>
      </c>
      <c r="H250" s="75" t="str">
        <f>" No Legal Decision-making Order-" &amp; PROPER(ChildChildren) &amp; " with " &amp; Obligee &amp; " for greater part of last 6 mos."</f>
        <v xml:space="preserve"> No Legal Decision-making Order-Children with the obligee for greater part of last 6 mos.</v>
      </c>
      <c r="I250" s="265"/>
      <c r="J250" s="265"/>
      <c r="K250" s="265"/>
      <c r="L250" s="265"/>
      <c r="M250" s="265"/>
      <c r="N250" s="265"/>
      <c r="O250" s="265"/>
      <c r="P250" s="265"/>
      <c r="Q250" s="265"/>
      <c r="R250" s="265"/>
      <c r="S250" s="265"/>
      <c r="T250" s="265"/>
      <c r="U250" s="265"/>
      <c r="V250" s="265"/>
      <c r="W250" s="265"/>
      <c r="X250" s="265"/>
      <c r="Y250" s="265"/>
      <c r="Z250" s="265"/>
      <c r="AA250" s="747"/>
      <c r="AB250" s="590"/>
      <c r="AC250" s="590"/>
    </row>
    <row r="251" spans="1:29" x14ac:dyDescent="0.25">
      <c r="A251" s="573"/>
      <c r="B251" s="213" t="str">
        <f>IF(G254=2,"  Error-2 Checked","  (Check One)")</f>
        <v xml:space="preserve">  (Check One)</v>
      </c>
      <c r="C251" s="265"/>
      <c r="D251" s="265"/>
      <c r="E251" s="265"/>
      <c r="F251" s="265"/>
      <c r="G251" s="165"/>
      <c r="H251" s="75" t="str">
        <f>IF(U47=1," Child lives with a non-parent caretaker.",IF(U47&gt;1," Children live with a non-parent caretaker."," Child[ren] live(s) with a non-parent caretaker."))</f>
        <v xml:space="preserve"> Children live with a non-parent caretaker.</v>
      </c>
      <c r="I251" s="265"/>
      <c r="J251" s="265"/>
      <c r="K251" s="265"/>
      <c r="L251" s="265"/>
      <c r="M251" s="265"/>
      <c r="N251" s="265"/>
      <c r="O251" s="265"/>
      <c r="P251" s="265"/>
      <c r="Q251" s="265"/>
      <c r="R251" s="265"/>
      <c r="S251" s="265"/>
      <c r="T251" s="265"/>
      <c r="U251" s="265"/>
      <c r="V251" s="265"/>
      <c r="W251" s="265"/>
      <c r="X251" s="265"/>
      <c r="Y251" s="265"/>
      <c r="Z251" s="265"/>
      <c r="AA251" s="747"/>
      <c r="AB251" s="590"/>
      <c r="AC251" s="590"/>
    </row>
    <row r="252" spans="1:29" x14ac:dyDescent="0.25">
      <c r="A252" s="573"/>
      <c r="B252" s="213"/>
      <c r="C252" s="265"/>
      <c r="D252" s="265"/>
      <c r="E252" s="265"/>
      <c r="F252" s="265" t="s">
        <v>198</v>
      </c>
      <c r="G252" s="165"/>
      <c r="H252" s="75" t="str">
        <f>" Award sole legal decision-making to " &amp; IF(Obligor="Parent A","Parent B",IF(Obligor="Parent B","Parent A","Obligee")) &amp; " per attached Parenting Plan"</f>
        <v xml:space="preserve"> Award sole legal decision-making to Obligee per attached Parenting Plan</v>
      </c>
      <c r="I252" s="265"/>
      <c r="J252" s="265"/>
      <c r="K252" s="265"/>
      <c r="L252" s="265"/>
      <c r="M252" s="265"/>
      <c r="N252" s="265"/>
      <c r="O252" s="265"/>
      <c r="P252" s="265"/>
      <c r="Q252" s="265"/>
      <c r="R252" s="265"/>
      <c r="S252" s="265"/>
      <c r="T252" s="265"/>
      <c r="U252" s="265"/>
      <c r="V252" s="265"/>
      <c r="W252" s="265"/>
      <c r="X252" s="265"/>
      <c r="Y252" s="265"/>
      <c r="Z252" s="265"/>
      <c r="AA252" s="747"/>
      <c r="AB252" s="590"/>
      <c r="AC252" s="590"/>
    </row>
    <row r="253" spans="1:29" x14ac:dyDescent="0.25">
      <c r="A253" s="573"/>
      <c r="B253" s="213"/>
      <c r="C253" s="265"/>
      <c r="D253" s="265"/>
      <c r="E253" s="265"/>
      <c r="F253" s="265"/>
      <c r="G253" s="165"/>
      <c r="H253" s="75" t="s">
        <v>199</v>
      </c>
      <c r="I253" s="265"/>
      <c r="J253" s="265"/>
      <c r="K253" s="265"/>
      <c r="L253" s="265"/>
      <c r="M253" s="265"/>
      <c r="N253" s="265"/>
      <c r="O253" s="265"/>
      <c r="P253" s="265"/>
      <c r="Q253" s="265"/>
      <c r="R253" s="265"/>
      <c r="S253" s="265"/>
      <c r="T253" s="265"/>
      <c r="U253" s="265"/>
      <c r="V253" s="265"/>
      <c r="W253" s="265"/>
      <c r="X253" s="265"/>
      <c r="Y253" s="265"/>
      <c r="Z253" s="265"/>
      <c r="AA253" s="747"/>
      <c r="AB253" s="590"/>
      <c r="AC253" s="590"/>
    </row>
    <row r="254" spans="1:29" x14ac:dyDescent="0.25">
      <c r="A254" s="573"/>
      <c r="B254" s="213"/>
      <c r="C254" s="265"/>
      <c r="D254" s="265"/>
      <c r="E254" s="265"/>
      <c r="F254" s="265"/>
      <c r="G254" s="769">
        <f>IF(AND(ISBLANK(G251),ISBLANK(G252),ISBLANK(G253)),0,IF(OR(AND(NOT(ISBLANK(G251)),ISBLANK(G252),ISBLANK(G253)),AND(NOT(ISBLANK(G252)),ISBLANK(G251),ISBLANK(G253)),AND(NOT(ISBLANK(G253)),ISBLANK(G251),ISBLANK(G252))),1,2))</f>
        <v>0</v>
      </c>
      <c r="H254" s="75"/>
      <c r="I254" s="265"/>
      <c r="J254" s="265"/>
      <c r="K254" s="265"/>
      <c r="L254" s="265"/>
      <c r="M254" s="265"/>
      <c r="N254" s="265"/>
      <c r="O254" s="265"/>
      <c r="P254" s="265"/>
      <c r="Q254" s="265"/>
      <c r="R254" s="265"/>
      <c r="S254" s="265"/>
      <c r="T254" s="265"/>
      <c r="U254" s="265"/>
      <c r="V254" s="265"/>
      <c r="W254" s="265"/>
      <c r="X254" s="265"/>
      <c r="Y254" s="265"/>
      <c r="Z254" s="265"/>
      <c r="AA254" s="747"/>
      <c r="AB254" s="590"/>
      <c r="AC254" s="590"/>
    </row>
    <row r="255" spans="1:29" s="172" customFormat="1" ht="22.5" customHeight="1" x14ac:dyDescent="0.25">
      <c r="A255" s="751"/>
      <c r="B255" s="910" t="s">
        <v>200</v>
      </c>
      <c r="C255" s="1253"/>
      <c r="D255" s="1253"/>
      <c r="E255" s="1253"/>
      <c r="F255" s="1253"/>
      <c r="G255" s="1253"/>
      <c r="H255" s="1253"/>
      <c r="I255" s="906"/>
      <c r="J255" s="906"/>
      <c r="K255" s="906"/>
      <c r="L255" s="906"/>
      <c r="M255" s="906"/>
      <c r="N255" s="906"/>
      <c r="O255" s="906"/>
      <c r="P255" s="906"/>
      <c r="Q255" s="906"/>
      <c r="R255" s="906"/>
      <c r="S255" s="906"/>
      <c r="T255" s="906"/>
      <c r="U255" s="906"/>
      <c r="V255" s="906"/>
      <c r="W255" s="906"/>
      <c r="X255" s="906"/>
      <c r="Y255" s="906"/>
      <c r="Z255" s="906"/>
      <c r="AA255" s="911"/>
      <c r="AB255" s="590"/>
      <c r="AC255" s="590"/>
    </row>
    <row r="256" spans="1:29" s="172" customFormat="1" ht="15" customHeight="1" x14ac:dyDescent="0.25">
      <c r="A256" s="751"/>
      <c r="B256" s="623"/>
      <c r="C256" s="871" t="s">
        <v>201</v>
      </c>
      <c r="D256" s="906"/>
      <c r="E256" s="906"/>
      <c r="F256" s="906"/>
      <c r="G256" s="906"/>
      <c r="H256" s="906"/>
      <c r="I256" s="906"/>
      <c r="J256" s="906"/>
      <c r="K256" s="906"/>
      <c r="L256" s="906"/>
      <c r="M256" s="906"/>
      <c r="N256" s="906"/>
      <c r="O256" s="906"/>
      <c r="P256" s="906"/>
      <c r="Q256" s="906"/>
      <c r="R256" s="906"/>
      <c r="S256" s="906"/>
      <c r="T256" s="906"/>
      <c r="U256" s="906"/>
      <c r="V256" s="906"/>
      <c r="W256" s="906"/>
      <c r="X256" s="906"/>
      <c r="Y256" s="906"/>
      <c r="Z256" s="906"/>
      <c r="AA256" s="911"/>
      <c r="AB256" s="590"/>
      <c r="AC256" s="590"/>
    </row>
    <row r="257" spans="1:32" x14ac:dyDescent="0.25">
      <c r="A257" s="573"/>
      <c r="B257" s="1322"/>
      <c r="C257" s="1323"/>
      <c r="D257" s="1323"/>
      <c r="E257" s="1323"/>
      <c r="F257" s="1323"/>
      <c r="G257" s="165"/>
      <c r="H257" s="630" t="s">
        <v>202</v>
      </c>
      <c r="I257" s="155"/>
      <c r="J257" s="155"/>
      <c r="K257" s="155"/>
      <c r="L257" s="155"/>
      <c r="M257" s="155"/>
      <c r="N257" s="155"/>
      <c r="O257" s="155"/>
      <c r="P257" s="155"/>
      <c r="Q257" s="155"/>
      <c r="R257" s="155"/>
      <c r="S257" s="155"/>
      <c r="T257" s="155"/>
      <c r="U257" s="155"/>
      <c r="V257" s="155"/>
      <c r="W257" s="155"/>
      <c r="X257" s="155"/>
      <c r="Y257" s="155"/>
      <c r="Z257" s="155"/>
      <c r="AA257" s="209"/>
      <c r="AB257" s="590"/>
      <c r="AC257" s="590"/>
      <c r="AD257" s="770"/>
      <c r="AE257" s="770"/>
      <c r="AF257" s="770"/>
    </row>
    <row r="258" spans="1:32" x14ac:dyDescent="0.25">
      <c r="A258" s="573"/>
      <c r="B258" s="1322"/>
      <c r="C258" s="1323"/>
      <c r="D258" s="1323"/>
      <c r="E258" s="1323"/>
      <c r="F258" s="1323"/>
      <c r="G258" s="155"/>
      <c r="H258" s="1319"/>
      <c r="I258" s="1320"/>
      <c r="J258" s="1320"/>
      <c r="K258" s="1321"/>
      <c r="L258" s="1318" t="s">
        <v>203</v>
      </c>
      <c r="M258" s="1062"/>
      <c r="N258" s="1062"/>
      <c r="O258" s="873"/>
      <c r="P258" s="873"/>
      <c r="Q258" s="873"/>
      <c r="R258" s="873"/>
      <c r="S258" s="873"/>
      <c r="T258" s="873"/>
      <c r="U258" s="873"/>
      <c r="V258" s="873"/>
      <c r="W258" s="873"/>
      <c r="X258" s="873"/>
      <c r="Y258" s="873"/>
      <c r="Z258" s="873"/>
      <c r="AA258" s="874"/>
      <c r="AB258" s="590"/>
      <c r="AC258" s="590"/>
      <c r="AD258" s="770"/>
      <c r="AE258" s="206"/>
      <c r="AF258" s="206"/>
    </row>
    <row r="259" spans="1:32" x14ac:dyDescent="0.25">
      <c r="A259" s="573"/>
      <c r="B259" s="589"/>
      <c r="C259" s="155"/>
      <c r="D259" s="155"/>
      <c r="E259" s="155"/>
      <c r="F259" s="155"/>
      <c r="G259" s="627"/>
      <c r="H259" s="224" t="str">
        <f>IF(AND(NOT(ISBLANK(G257)),ISBLANK(H260)),"x","")</f>
        <v/>
      </c>
      <c r="I259" s="1317" t="s">
        <v>204</v>
      </c>
      <c r="J259" s="1062"/>
      <c r="K259" s="1062"/>
      <c r="L259" s="1062"/>
      <c r="M259" s="1062"/>
      <c r="N259" s="1062"/>
      <c r="O259" s="1062"/>
      <c r="P259" s="1062"/>
      <c r="Q259" s="1062"/>
      <c r="R259" s="1062"/>
      <c r="S259" s="874"/>
      <c r="T259" s="1256" t="str">
        <f ca="1">IF(AND(NOT(ISBLANK(G257)),ISBLANK(H260)),TODAY()+90,"")</f>
        <v/>
      </c>
      <c r="U259" s="1324"/>
      <c r="V259" s="1324"/>
      <c r="W259" s="1324"/>
      <c r="X259" s="1324"/>
      <c r="Y259" s="1324"/>
      <c r="Z259" s="1258"/>
      <c r="AA259" s="747"/>
      <c r="AB259" s="590"/>
      <c r="AC259" s="590"/>
      <c r="AD259" s="206"/>
      <c r="AE259" s="206"/>
      <c r="AF259" s="206"/>
    </row>
    <row r="260" spans="1:32" x14ac:dyDescent="0.25">
      <c r="A260" s="573"/>
      <c r="B260" s="589"/>
      <c r="C260" s="155"/>
      <c r="D260" s="155"/>
      <c r="E260" s="155"/>
      <c r="F260" s="155"/>
      <c r="G260" s="627"/>
      <c r="H260" s="223"/>
      <c r="I260" s="1317" t="s">
        <v>205</v>
      </c>
      <c r="J260" s="1062"/>
      <c r="K260" s="1062"/>
      <c r="L260" s="1062"/>
      <c r="M260" s="1062"/>
      <c r="N260" s="1062"/>
      <c r="O260" s="1062"/>
      <c r="P260" s="1062"/>
      <c r="Q260" s="1062"/>
      <c r="R260" s="1062"/>
      <c r="S260" s="874"/>
      <c r="T260" s="1314"/>
      <c r="U260" s="1315"/>
      <c r="V260" s="1315"/>
      <c r="W260" s="1315"/>
      <c r="X260" s="1315"/>
      <c r="Y260" s="1315"/>
      <c r="Z260" s="1316"/>
      <c r="AA260" s="747"/>
      <c r="AB260" s="590"/>
      <c r="AC260" s="590"/>
      <c r="AD260" s="206"/>
      <c r="AE260" s="206"/>
      <c r="AF260" s="206"/>
    </row>
    <row r="261" spans="1:32" s="172" customFormat="1" ht="20.25" customHeight="1" x14ac:dyDescent="0.25">
      <c r="A261" s="751"/>
      <c r="B261" s="771"/>
      <c r="C261" s="1309" t="s">
        <v>206</v>
      </c>
      <c r="D261" s="865"/>
      <c r="E261" s="865"/>
      <c r="F261" s="865"/>
      <c r="G261" s="865"/>
      <c r="H261" s="865"/>
      <c r="I261" s="865"/>
      <c r="J261" s="865"/>
      <c r="K261" s="865"/>
      <c r="L261" s="865"/>
      <c r="M261" s="865"/>
      <c r="N261" s="865"/>
      <c r="O261" s="865"/>
      <c r="P261" s="865"/>
      <c r="Q261" s="865"/>
      <c r="R261" s="865"/>
      <c r="S261" s="865"/>
      <c r="T261" s="865"/>
      <c r="U261" s="865"/>
      <c r="V261" s="865"/>
      <c r="W261" s="865"/>
      <c r="X261" s="865"/>
      <c r="Y261" s="865"/>
      <c r="Z261" s="865"/>
      <c r="AA261" s="874"/>
      <c r="AB261" s="590"/>
      <c r="AC261" s="590"/>
      <c r="AD261" s="770"/>
      <c r="AE261" s="770"/>
      <c r="AF261" s="770"/>
    </row>
    <row r="262" spans="1:32" ht="15" customHeight="1" x14ac:dyDescent="0.25">
      <c r="A262" s="573"/>
      <c r="B262" s="615"/>
      <c r="C262" s="573"/>
      <c r="D262" s="573"/>
      <c r="E262" s="573"/>
      <c r="F262" s="573"/>
      <c r="G262" s="1310" t="s">
        <v>207</v>
      </c>
      <c r="H262" s="1311"/>
      <c r="I262" s="1311"/>
      <c r="J262" s="1311"/>
      <c r="K262" s="1311"/>
      <c r="L262" s="1311"/>
      <c r="M262" s="1311"/>
      <c r="N262" s="865"/>
      <c r="O262" s="865"/>
      <c r="P262" s="865"/>
      <c r="Q262" s="865"/>
      <c r="R262" s="874"/>
      <c r="S262" s="1289"/>
      <c r="T262" s="1312"/>
      <c r="U262" s="1313"/>
      <c r="V262" s="608"/>
      <c r="W262" s="616"/>
      <c r="X262" s="616"/>
      <c r="Y262" s="617"/>
      <c r="Z262" s="617"/>
      <c r="AA262" s="209"/>
      <c r="AB262" s="590"/>
      <c r="AC262" s="590"/>
      <c r="AD262" s="206"/>
      <c r="AE262" s="206"/>
      <c r="AF262" s="206"/>
    </row>
    <row r="263" spans="1:32" x14ac:dyDescent="0.25">
      <c r="A263" s="573"/>
      <c r="B263" s="772"/>
      <c r="C263" s="750"/>
      <c r="D263" s="750"/>
      <c r="E263" s="750"/>
      <c r="F263" s="750"/>
      <c r="G263" s="275"/>
      <c r="H263" s="750"/>
      <c r="I263" s="750"/>
      <c r="J263" s="750"/>
      <c r="K263" s="750"/>
      <c r="L263" s="750"/>
      <c r="M263" s="750"/>
      <c r="N263" s="750"/>
      <c r="O263" s="750"/>
      <c r="P263" s="750"/>
      <c r="Q263" s="750"/>
      <c r="R263" s="750"/>
      <c r="S263" s="750"/>
      <c r="T263" s="750"/>
      <c r="U263" s="750"/>
      <c r="V263" s="750"/>
      <c r="W263" s="750"/>
      <c r="X263" s="750"/>
      <c r="Y263" s="750"/>
      <c r="Z263" s="750"/>
      <c r="AA263" s="773"/>
      <c r="AB263" s="590"/>
      <c r="AC263" s="590"/>
      <c r="AD263" s="206"/>
      <c r="AE263" s="206"/>
      <c r="AF263" s="206"/>
    </row>
    <row r="264" spans="1:32" ht="39" customHeight="1" x14ac:dyDescent="0.25">
      <c r="A264" s="573"/>
      <c r="B264" s="1301" t="s">
        <v>208</v>
      </c>
      <c r="C264" s="1302"/>
      <c r="D264" s="1302"/>
      <c r="E264" s="1302"/>
      <c r="F264" s="1302"/>
      <c r="G264" s="1302"/>
      <c r="H264" s="1302"/>
      <c r="I264" s="1302"/>
      <c r="J264" s="1302"/>
      <c r="K264" s="1302"/>
      <c r="L264" s="1302"/>
      <c r="M264" s="1302"/>
      <c r="N264" s="1302"/>
      <c r="O264" s="1302"/>
      <c r="P264" s="1302"/>
      <c r="Q264" s="1302"/>
      <c r="R264" s="1302"/>
      <c r="S264" s="1302"/>
      <c r="T264" s="1302"/>
      <c r="U264" s="1302"/>
      <c r="V264" s="1302"/>
      <c r="W264" s="1302"/>
      <c r="X264" s="1302"/>
      <c r="Y264" s="1302"/>
      <c r="Z264" s="1302"/>
      <c r="AA264" s="1303"/>
      <c r="AB264" s="590"/>
      <c r="AC264" s="590"/>
      <c r="AD264" s="206"/>
      <c r="AE264" s="206"/>
      <c r="AF264" s="206"/>
    </row>
    <row r="265" spans="1:32" x14ac:dyDescent="0.25">
      <c r="A265" s="573"/>
      <c r="B265" s="1325" t="s">
        <v>209</v>
      </c>
      <c r="C265" s="1326"/>
      <c r="D265" s="1326"/>
      <c r="E265" s="1326"/>
      <c r="F265" s="1326"/>
      <c r="G265" s="1326"/>
      <c r="H265" s="1326"/>
      <c r="I265" s="1326"/>
      <c r="J265" s="1326"/>
      <c r="K265" s="1326"/>
      <c r="L265" s="1326"/>
      <c r="M265" s="1326"/>
      <c r="N265" s="1326"/>
      <c r="O265" s="1326"/>
      <c r="P265" s="1326"/>
      <c r="Q265" s="1326"/>
      <c r="R265" s="1326"/>
      <c r="S265" s="1326"/>
      <c r="T265" s="1326"/>
      <c r="U265" s="1326"/>
      <c r="V265" s="1326"/>
      <c r="W265" s="1326"/>
      <c r="X265" s="1326"/>
      <c r="Y265" s="1326"/>
      <c r="Z265" s="1326"/>
      <c r="AA265" s="1327"/>
      <c r="AB265" s="590"/>
      <c r="AC265" s="590"/>
      <c r="AD265" s="206"/>
      <c r="AE265" s="206"/>
      <c r="AF265" s="206"/>
    </row>
    <row r="266" spans="1:32" x14ac:dyDescent="0.25">
      <c r="A266" s="573"/>
      <c r="B266" s="774"/>
      <c r="C266" s="775"/>
      <c r="D266" s="775"/>
      <c r="E266" s="775"/>
      <c r="F266" s="775"/>
      <c r="G266" s="776"/>
      <c r="H266" s="775"/>
      <c r="I266" s="775"/>
      <c r="J266" s="775"/>
      <c r="K266" s="775"/>
      <c r="L266" s="775"/>
      <c r="M266" s="775"/>
      <c r="N266" s="775"/>
      <c r="O266" s="775"/>
      <c r="P266" s="777"/>
      <c r="Q266" s="777"/>
      <c r="R266" s="777"/>
      <c r="S266" s="777"/>
      <c r="T266" s="777"/>
      <c r="U266" s="777"/>
      <c r="V266" s="777"/>
      <c r="W266" s="777"/>
      <c r="X266" s="777"/>
      <c r="Y266" s="777"/>
      <c r="Z266" s="777"/>
      <c r="AA266" s="778"/>
      <c r="AB266" s="590"/>
      <c r="AC266" s="590"/>
      <c r="AD266" s="206"/>
      <c r="AE266" s="206"/>
      <c r="AF266" s="206"/>
    </row>
    <row r="267" spans="1:32" x14ac:dyDescent="0.25">
      <c r="A267" s="573"/>
      <c r="B267" s="213"/>
      <c r="C267" s="75" t="s">
        <v>210</v>
      </c>
      <c r="D267" s="265"/>
      <c r="E267" s="265"/>
      <c r="F267" s="265"/>
      <c r="G267" s="90" t="str">
        <f>IF(AND(ISBLANK(G268),ISBLANK(G269),ISBLANK(G270)),"x","")</f>
        <v>x</v>
      </c>
      <c r="H267" s="265" t="s">
        <v>211</v>
      </c>
      <c r="I267" s="265"/>
      <c r="J267" s="265"/>
      <c r="K267" s="265"/>
      <c r="L267" s="265"/>
      <c r="M267" s="265"/>
      <c r="N267" s="265"/>
      <c r="O267" s="265"/>
      <c r="P267" s="155"/>
      <c r="Q267" s="155"/>
      <c r="R267" s="155"/>
      <c r="S267" s="155"/>
      <c r="T267" s="155"/>
      <c r="U267" s="155"/>
      <c r="V267" s="155"/>
      <c r="W267" s="155"/>
      <c r="X267" s="155"/>
      <c r="Y267" s="155"/>
      <c r="Z267" s="155"/>
      <c r="AA267" s="209"/>
      <c r="AB267" s="590"/>
      <c r="AC267" s="590"/>
      <c r="AD267" s="206"/>
      <c r="AE267" s="206"/>
      <c r="AF267" s="206"/>
    </row>
    <row r="268" spans="1:32" x14ac:dyDescent="0.25">
      <c r="A268" s="573"/>
      <c r="B268" s="213"/>
      <c r="C268" s="265"/>
      <c r="D268" s="265"/>
      <c r="E268" s="265"/>
      <c r="F268" s="265"/>
      <c r="G268" s="269"/>
      <c r="H268" s="75" t="s">
        <v>212</v>
      </c>
      <c r="I268" s="265"/>
      <c r="J268" s="265"/>
      <c r="K268" s="265"/>
      <c r="L268" s="265"/>
      <c r="M268" s="265"/>
      <c r="N268" s="265"/>
      <c r="O268" s="265"/>
      <c r="P268" s="155"/>
      <c r="Q268" s="155"/>
      <c r="R268" s="155"/>
      <c r="S268" s="155"/>
      <c r="T268" s="155"/>
      <c r="U268" s="155"/>
      <c r="V268" s="155"/>
      <c r="W268" s="155"/>
      <c r="X268" s="155"/>
      <c r="Y268" s="155"/>
      <c r="Z268" s="155"/>
      <c r="AA268" s="209"/>
      <c r="AB268" s="590"/>
      <c r="AC268" s="590"/>
      <c r="AD268" s="206"/>
      <c r="AE268" s="206"/>
      <c r="AF268" s="206"/>
    </row>
    <row r="269" spans="1:32" x14ac:dyDescent="0.25">
      <c r="A269" s="573"/>
      <c r="B269" s="213"/>
      <c r="C269" s="265"/>
      <c r="D269" s="265"/>
      <c r="E269" s="265"/>
      <c r="F269" s="265"/>
      <c r="G269" s="269"/>
      <c r="H269" s="881" t="s">
        <v>213</v>
      </c>
      <c r="I269" s="865"/>
      <c r="J269" s="865"/>
      <c r="K269" s="865"/>
      <c r="L269" s="865"/>
      <c r="M269" s="865"/>
      <c r="N269" s="865"/>
      <c r="O269" s="865"/>
      <c r="P269" s="865"/>
      <c r="Q269" s="865"/>
      <c r="R269" s="1344" t="str">
        <f>IF(NOT(ISBLANK(G269)),"Amount of:","")</f>
        <v/>
      </c>
      <c r="S269" s="1344"/>
      <c r="T269" s="1344"/>
      <c r="U269" s="1345"/>
      <c r="V269" s="1345"/>
      <c r="W269" s="1345"/>
      <c r="X269" s="1345"/>
      <c r="Y269" s="1345"/>
      <c r="Z269" s="155"/>
      <c r="AA269" s="209"/>
      <c r="AB269" s="590"/>
      <c r="AC269" s="590"/>
      <c r="AD269" s="206"/>
      <c r="AE269" s="206"/>
      <c r="AF269" s="206"/>
    </row>
    <row r="270" spans="1:32" x14ac:dyDescent="0.25">
      <c r="A270" s="573"/>
      <c r="B270" s="213"/>
      <c r="C270" s="265"/>
      <c r="D270" s="265"/>
      <c r="E270" s="265"/>
      <c r="F270" s="265"/>
      <c r="G270" s="269"/>
      <c r="H270" s="75" t="s">
        <v>214</v>
      </c>
      <c r="I270" s="265"/>
      <c r="J270" s="265"/>
      <c r="K270" s="265"/>
      <c r="L270" s="265"/>
      <c r="M270" s="265"/>
      <c r="N270" s="265"/>
      <c r="O270" s="265"/>
      <c r="P270" s="155"/>
      <c r="Q270" s="155"/>
      <c r="R270" s="155"/>
      <c r="S270" s="155"/>
      <c r="T270" s="155"/>
      <c r="U270" s="155"/>
      <c r="V270" s="155"/>
      <c r="W270" s="155"/>
      <c r="X270" s="155"/>
      <c r="Y270" s="155"/>
      <c r="Z270" s="155"/>
      <c r="AA270" s="209"/>
      <c r="AB270" s="590"/>
      <c r="AC270" s="590"/>
      <c r="AD270" s="206"/>
      <c r="AE270" s="206"/>
      <c r="AF270" s="206"/>
    </row>
    <row r="271" spans="1:32" x14ac:dyDescent="0.25">
      <c r="A271" s="573"/>
      <c r="B271" s="213"/>
      <c r="C271" s="265"/>
      <c r="D271" s="265"/>
      <c r="E271" s="265"/>
      <c r="F271" s="265"/>
      <c r="G271" s="769">
        <f>IF(AND(ISBLANK(G268),ISBLANK(G269),ISBLANK(G270)),0,IF(OR(AND(NOT(ISBLANK(G268)),ISBLANK(G269),ISBLANK(G270)),AND(NOT(ISBLANK(G269)),ISBLANK(G268),ISBLANK(G270)),AND(NOT(ISBLANK(G270)),ISBLANK(G268),ISBLANK(G269))),1,2))</f>
        <v>0</v>
      </c>
      <c r="H271" s="265"/>
      <c r="I271" s="265"/>
      <c r="J271" s="265"/>
      <c r="K271" s="265"/>
      <c r="L271" s="265"/>
      <c r="M271" s="265"/>
      <c r="N271" s="265"/>
      <c r="O271" s="265"/>
      <c r="P271" s="155"/>
      <c r="Q271" s="155"/>
      <c r="R271" s="155"/>
      <c r="S271" s="155"/>
      <c r="T271" s="155"/>
      <c r="U271" s="155"/>
      <c r="V271" s="155"/>
      <c r="W271" s="155"/>
      <c r="X271" s="155"/>
      <c r="Y271" s="155"/>
      <c r="Z271" s="155"/>
      <c r="AA271" s="209"/>
      <c r="AB271" s="590"/>
      <c r="AC271" s="590"/>
      <c r="AD271" s="206"/>
      <c r="AE271" s="206"/>
      <c r="AF271" s="206"/>
    </row>
    <row r="272" spans="1:32" x14ac:dyDescent="0.25">
      <c r="A272" s="573"/>
      <c r="B272" s="213"/>
      <c r="C272" s="75" t="s">
        <v>215</v>
      </c>
      <c r="D272" s="265"/>
      <c r="E272" s="265"/>
      <c r="F272" s="265"/>
      <c r="G272" s="90" t="str">
        <f>IF(AND(ISBLANK(G273),ISBLANK(G274),ISBLANK(G275)),"x","")</f>
        <v>x</v>
      </c>
      <c r="H272" s="265" t="s">
        <v>216</v>
      </c>
      <c r="I272" s="265"/>
      <c r="J272" s="265"/>
      <c r="K272" s="265"/>
      <c r="L272" s="265"/>
      <c r="M272" s="265"/>
      <c r="N272" s="265"/>
      <c r="O272" s="265"/>
      <c r="P272" s="155"/>
      <c r="Q272" s="155"/>
      <c r="R272" s="155"/>
      <c r="S272" s="155"/>
      <c r="T272" s="155"/>
      <c r="U272" s="155"/>
      <c r="V272" s="155"/>
      <c r="W272" s="155"/>
      <c r="X272" s="155"/>
      <c r="Y272" s="155"/>
      <c r="Z272" s="155"/>
      <c r="AA272" s="209"/>
      <c r="AB272" s="590"/>
      <c r="AC272" s="590"/>
      <c r="AD272" s="206"/>
      <c r="AE272" s="206"/>
      <c r="AF272" s="206"/>
    </row>
    <row r="273" spans="1:29" x14ac:dyDescent="0.25">
      <c r="A273" s="573"/>
      <c r="B273" s="213"/>
      <c r="C273" s="265"/>
      <c r="D273" s="265"/>
      <c r="E273" s="265"/>
      <c r="F273" s="265"/>
      <c r="G273" s="269"/>
      <c r="H273" s="75" t="s">
        <v>217</v>
      </c>
      <c r="I273" s="265"/>
      <c r="J273" s="265"/>
      <c r="K273" s="265"/>
      <c r="L273" s="265"/>
      <c r="M273" s="265"/>
      <c r="N273" s="265"/>
      <c r="O273" s="265"/>
      <c r="P273" s="155"/>
      <c r="Q273" s="155"/>
      <c r="R273" s="155"/>
      <c r="S273" s="155"/>
      <c r="T273" s="155"/>
      <c r="U273" s="155"/>
      <c r="V273" s="155"/>
      <c r="W273" s="155"/>
      <c r="X273" s="155"/>
      <c r="Y273" s="155"/>
      <c r="Z273" s="155"/>
      <c r="AA273" s="209"/>
      <c r="AB273" s="590"/>
      <c r="AC273" s="590"/>
    </row>
    <row r="274" spans="1:29" x14ac:dyDescent="0.25">
      <c r="A274" s="573"/>
      <c r="B274" s="213"/>
      <c r="C274" s="265"/>
      <c r="D274" s="265"/>
      <c r="E274" s="265"/>
      <c r="F274" s="265"/>
      <c r="G274" s="271"/>
      <c r="H274" s="881" t="s">
        <v>218</v>
      </c>
      <c r="I274" s="865"/>
      <c r="J274" s="896" t="str">
        <f>IF(NOT(ISBLANK(G274)),"Attorney Name:","")</f>
        <v/>
      </c>
      <c r="K274" s="865"/>
      <c r="L274" s="865"/>
      <c r="M274" s="865"/>
      <c r="N274" s="896"/>
      <c r="O274" s="1338"/>
      <c r="P274" s="1338"/>
      <c r="Q274" s="1338"/>
      <c r="R274" s="1338"/>
      <c r="S274" s="1338"/>
      <c r="T274" s="1338"/>
      <c r="U274" s="1338"/>
      <c r="V274" s="1338"/>
      <c r="W274" s="155"/>
      <c r="X274" s="155"/>
      <c r="Y274" s="155"/>
      <c r="Z274" s="155"/>
      <c r="AA274" s="209"/>
      <c r="AB274" s="590"/>
      <c r="AC274" s="590"/>
    </row>
    <row r="275" spans="1:29" x14ac:dyDescent="0.25">
      <c r="A275" s="573"/>
      <c r="B275" s="213"/>
      <c r="C275" s="265"/>
      <c r="D275" s="265"/>
      <c r="E275" s="265"/>
      <c r="F275" s="265"/>
      <c r="G275" s="271"/>
      <c r="H275" s="881" t="s">
        <v>219</v>
      </c>
      <c r="I275" s="865"/>
      <c r="J275" s="865"/>
      <c r="K275" s="865"/>
      <c r="L275" s="865"/>
      <c r="M275" s="206"/>
      <c r="N275" s="75" t="str">
        <f>IF(NOT(ISBLANK(G275)),"Name:","")</f>
        <v/>
      </c>
      <c r="O275" s="265"/>
      <c r="P275" s="896"/>
      <c r="Q275" s="1338"/>
      <c r="R275" s="1338"/>
      <c r="S275" s="1338"/>
      <c r="T275" s="1338"/>
      <c r="U275" s="1338"/>
      <c r="V275" s="1338"/>
      <c r="W275" s="1338"/>
      <c r="X275" s="1338"/>
      <c r="Y275" s="155"/>
      <c r="Z275" s="155"/>
      <c r="AA275" s="209"/>
      <c r="AB275" s="590"/>
      <c r="AC275" s="590"/>
    </row>
    <row r="276" spans="1:29" x14ac:dyDescent="0.25">
      <c r="A276" s="573"/>
      <c r="B276" s="213"/>
      <c r="C276" s="265"/>
      <c r="D276" s="265"/>
      <c r="E276" s="265"/>
      <c r="F276" s="265"/>
      <c r="G276" s="769">
        <f>IF(AND(ISBLANK(G273),ISBLANK(G274),ISBLANK(G275)),0,IF(OR(AND(NOT(ISBLANK(G273)),ISBLANK(G274),ISBLANK(G275)),AND(NOT(ISBLANK(G274)),ISBLANK(G273),ISBLANK(G275)),AND(NOT(ISBLANK(G275)),ISBLANK(G273),ISBLANK(G274))),1,2))</f>
        <v>0</v>
      </c>
      <c r="H276" s="265"/>
      <c r="I276" s="265"/>
      <c r="J276" s="265"/>
      <c r="K276" s="265"/>
      <c r="L276" s="265"/>
      <c r="M276" s="265"/>
      <c r="N276" s="265"/>
      <c r="O276" s="265"/>
      <c r="P276" s="155"/>
      <c r="Q276" s="155"/>
      <c r="R276" s="155"/>
      <c r="S276" s="155"/>
      <c r="T276" s="155"/>
      <c r="U276" s="155"/>
      <c r="V276" s="155"/>
      <c r="W276" s="155"/>
      <c r="X276" s="155"/>
      <c r="Y276" s="155"/>
      <c r="Z276" s="155"/>
      <c r="AA276" s="209"/>
      <c r="AB276" s="590"/>
      <c r="AC276" s="590"/>
    </row>
    <row r="277" spans="1:29" x14ac:dyDescent="0.25">
      <c r="A277" s="573"/>
      <c r="B277" s="213"/>
      <c r="C277" s="75" t="s">
        <v>220</v>
      </c>
      <c r="D277" s="265"/>
      <c r="E277" s="265"/>
      <c r="F277" s="265"/>
      <c r="G277" s="266"/>
      <c r="H277" s="265"/>
      <c r="I277" s="265"/>
      <c r="J277" s="265"/>
      <c r="K277" s="265"/>
      <c r="L277" s="265"/>
      <c r="M277" s="265"/>
      <c r="N277" s="265"/>
      <c r="O277" s="265"/>
      <c r="P277" s="155"/>
      <c r="Q277" s="155"/>
      <c r="R277" s="155"/>
      <c r="S277" s="155"/>
      <c r="T277" s="155"/>
      <c r="U277" s="155"/>
      <c r="V277" s="155"/>
      <c r="W277" s="155"/>
      <c r="X277" s="155"/>
      <c r="Y277" s="155"/>
      <c r="Z277" s="155"/>
      <c r="AA277" s="209"/>
      <c r="AB277" s="590"/>
      <c r="AC277" s="590"/>
    </row>
    <row r="278" spans="1:29" x14ac:dyDescent="0.25">
      <c r="A278" s="573"/>
      <c r="B278" s="213"/>
      <c r="C278" s="265"/>
      <c r="D278" s="896" t="s">
        <v>221</v>
      </c>
      <c r="E278" s="865"/>
      <c r="F278" s="865"/>
      <c r="G278" s="865"/>
      <c r="H278" s="865"/>
      <c r="I278" s="1331"/>
      <c r="J278" s="1332"/>
      <c r="K278" s="1332"/>
      <c r="L278" s="1332"/>
      <c r="M278" s="1332"/>
      <c r="N278" s="1332"/>
      <c r="O278" s="1332"/>
      <c r="P278" s="1332"/>
      <c r="Q278" s="1332"/>
      <c r="R278" s="1333"/>
      <c r="S278" s="155"/>
      <c r="T278" s="155"/>
      <c r="U278" s="155"/>
      <c r="V278" s="155"/>
      <c r="W278" s="155"/>
      <c r="X278" s="155"/>
      <c r="Y278" s="155"/>
      <c r="Z278" s="155"/>
      <c r="AA278" s="209"/>
      <c r="AB278" s="590"/>
      <c r="AC278" s="590"/>
    </row>
    <row r="279" spans="1:29" x14ac:dyDescent="0.25">
      <c r="A279" s="573"/>
      <c r="B279" s="213"/>
      <c r="C279" s="265"/>
      <c r="D279" s="896" t="s">
        <v>222</v>
      </c>
      <c r="E279" s="865"/>
      <c r="F279" s="865"/>
      <c r="G279" s="865"/>
      <c r="H279" s="865"/>
      <c r="I279" s="1334"/>
      <c r="J279" s="1335"/>
      <c r="K279" s="1335"/>
      <c r="L279" s="1335"/>
      <c r="M279" s="1335"/>
      <c r="N279" s="1335"/>
      <c r="O279" s="1335"/>
      <c r="P279" s="1335"/>
      <c r="Q279" s="1335"/>
      <c r="R279" s="1336"/>
      <c r="S279" s="155"/>
      <c r="T279" s="155"/>
      <c r="U279" s="155"/>
      <c r="V279" s="155"/>
      <c r="W279" s="155"/>
      <c r="X279" s="155"/>
      <c r="Y279" s="155"/>
      <c r="Z279" s="155"/>
      <c r="AA279" s="209"/>
      <c r="AB279" s="590"/>
      <c r="AC279" s="590"/>
    </row>
    <row r="280" spans="1:29" x14ac:dyDescent="0.25">
      <c r="A280" s="573"/>
      <c r="B280" s="213"/>
      <c r="C280" s="265"/>
      <c r="D280" s="896" t="s">
        <v>223</v>
      </c>
      <c r="E280" s="865"/>
      <c r="F280" s="865"/>
      <c r="G280" s="865"/>
      <c r="H280" s="865"/>
      <c r="I280" s="1328"/>
      <c r="J280" s="1329"/>
      <c r="K280" s="1329"/>
      <c r="L280" s="1329"/>
      <c r="M280" s="1329"/>
      <c r="N280" s="1329"/>
      <c r="O280" s="1329"/>
      <c r="P280" s="1329"/>
      <c r="Q280" s="1329"/>
      <c r="R280" s="1330"/>
      <c r="S280" s="155"/>
      <c r="T280" s="155"/>
      <c r="U280" s="155"/>
      <c r="V280" s="155"/>
      <c r="W280" s="155"/>
      <c r="X280" s="155"/>
      <c r="Y280" s="155"/>
      <c r="Z280" s="155"/>
      <c r="AA280" s="209"/>
      <c r="AB280" s="590"/>
      <c r="AC280" s="590"/>
    </row>
    <row r="281" spans="1:29" x14ac:dyDescent="0.25">
      <c r="A281" s="573"/>
      <c r="B281" s="213"/>
      <c r="C281" s="896" t="s">
        <v>224</v>
      </c>
      <c r="D281" s="1344"/>
      <c r="E281" s="1344"/>
      <c r="F281" s="1344"/>
      <c r="G281" s="1344"/>
      <c r="H281" s="1344"/>
      <c r="I281" s="1353"/>
      <c r="J281" s="1354"/>
      <c r="K281" s="1354"/>
      <c r="L281" s="1354"/>
      <c r="M281" s="1354"/>
      <c r="N281" s="1354"/>
      <c r="O281" s="1354"/>
      <c r="P281" s="1354"/>
      <c r="Q281" s="1354"/>
      <c r="R281" s="1355"/>
      <c r="S281" s="155"/>
      <c r="T281" s="155"/>
      <c r="U281" s="155"/>
      <c r="V281" s="155"/>
      <c r="W281" s="155"/>
      <c r="X281" s="155"/>
      <c r="Y281" s="155"/>
      <c r="Z281" s="155"/>
      <c r="AA281" s="209"/>
      <c r="AB281" s="590"/>
      <c r="AC281" s="590"/>
    </row>
    <row r="282" spans="1:29" x14ac:dyDescent="0.25">
      <c r="A282" s="573"/>
      <c r="B282" s="213"/>
      <c r="C282" s="265"/>
      <c r="D282" s="166"/>
      <c r="E282" s="166"/>
      <c r="F282" s="155"/>
      <c r="G282" s="268"/>
      <c r="H282" s="155"/>
      <c r="I282" s="573"/>
      <c r="J282" s="573"/>
      <c r="K282" s="573"/>
      <c r="L282" s="573"/>
      <c r="M282" s="573"/>
      <c r="N282" s="573"/>
      <c r="O282" s="573"/>
      <c r="P282" s="573"/>
      <c r="Q282" s="573"/>
      <c r="R282" s="155"/>
      <c r="S282" s="155"/>
      <c r="T282" s="155"/>
      <c r="U282" s="155"/>
      <c r="V282" s="155"/>
      <c r="W282" s="155"/>
      <c r="X282" s="155"/>
      <c r="Y282" s="155"/>
      <c r="Z282" s="155"/>
      <c r="AA282" s="209"/>
      <c r="AB282" s="590"/>
      <c r="AC282" s="590"/>
    </row>
    <row r="283" spans="1:29" x14ac:dyDescent="0.25">
      <c r="A283" s="573"/>
      <c r="B283" s="213"/>
      <c r="C283" s="896" t="s">
        <v>225</v>
      </c>
      <c r="D283" s="865"/>
      <c r="E283" s="865"/>
      <c r="F283" s="865"/>
      <c r="G283" s="873"/>
      <c r="H283" s="874"/>
      <c r="I283" s="1352" t="str">
        <f>IF(Obligor="Parent A",Petitioner,IF(Obligor="Parent B",Respondent,""))</f>
        <v/>
      </c>
      <c r="J283" s="1305"/>
      <c r="K283" s="1305"/>
      <c r="L283" s="1305"/>
      <c r="M283" s="1305"/>
      <c r="N283" s="1305"/>
      <c r="O283" s="1305"/>
      <c r="P283" s="1305"/>
      <c r="Q283" s="1306"/>
      <c r="R283" s="155"/>
      <c r="S283" s="155"/>
      <c r="T283" s="155"/>
      <c r="U283" s="155"/>
      <c r="V283" s="155"/>
      <c r="W283" s="155"/>
      <c r="X283" s="155"/>
      <c r="Y283" s="155"/>
      <c r="Z283" s="155"/>
      <c r="AA283" s="209"/>
      <c r="AB283" s="590"/>
      <c r="AC283" s="590"/>
    </row>
    <row r="284" spans="1:29" ht="15" customHeight="1" x14ac:dyDescent="0.25">
      <c r="A284" s="573"/>
      <c r="B284" s="213"/>
      <c r="C284" s="609"/>
      <c r="D284" s="896" t="s">
        <v>226</v>
      </c>
      <c r="E284" s="865"/>
      <c r="F284" s="865"/>
      <c r="G284" s="865"/>
      <c r="H284" s="874"/>
      <c r="I284" s="1346"/>
      <c r="J284" s="1347"/>
      <c r="K284" s="1347"/>
      <c r="L284" s="1347"/>
      <c r="M284" s="1347"/>
      <c r="N284" s="1347"/>
      <c r="O284" s="1347"/>
      <c r="P284" s="1347"/>
      <c r="Q284" s="1348"/>
      <c r="R284" s="155"/>
      <c r="S284" s="155"/>
      <c r="T284" s="155"/>
      <c r="U284" s="155"/>
      <c r="V284" s="155"/>
      <c r="W284" s="155"/>
      <c r="X284" s="155"/>
      <c r="Y284" s="155"/>
      <c r="Z284" s="155"/>
      <c r="AA284" s="209"/>
      <c r="AB284" s="590"/>
      <c r="AC284" s="590"/>
    </row>
    <row r="285" spans="1:29" ht="15" customHeight="1" x14ac:dyDescent="0.25">
      <c r="A285" s="573"/>
      <c r="B285" s="213"/>
      <c r="C285" s="573"/>
      <c r="D285" s="896" t="s">
        <v>227</v>
      </c>
      <c r="E285" s="865"/>
      <c r="F285" s="865"/>
      <c r="G285" s="865"/>
      <c r="H285" s="874"/>
      <c r="I285" s="1383"/>
      <c r="J285" s="1354"/>
      <c r="K285" s="1354"/>
      <c r="L285" s="1354"/>
      <c r="M285" s="1354"/>
      <c r="N285" s="1354"/>
      <c r="O285" s="1354"/>
      <c r="P285" s="1354"/>
      <c r="Q285" s="1355"/>
      <c r="R285" s="155"/>
      <c r="S285" s="155"/>
      <c r="T285" s="155"/>
      <c r="U285" s="155"/>
      <c r="V285" s="155"/>
      <c r="W285" s="155"/>
      <c r="X285" s="155"/>
      <c r="Y285" s="155"/>
      <c r="Z285" s="155"/>
      <c r="AA285" s="209"/>
      <c r="AB285" s="590"/>
      <c r="AC285" s="411"/>
    </row>
    <row r="286" spans="1:29" ht="15" customHeight="1" x14ac:dyDescent="0.25">
      <c r="A286" s="573"/>
      <c r="B286" s="213"/>
      <c r="C286" s="573"/>
      <c r="D286" s="896" t="s">
        <v>228</v>
      </c>
      <c r="E286" s="865"/>
      <c r="F286" s="865"/>
      <c r="G286" s="865"/>
      <c r="H286" s="874"/>
      <c r="I286" s="1349"/>
      <c r="J286" s="1350"/>
      <c r="K286" s="1350"/>
      <c r="L286" s="1350"/>
      <c r="M286" s="1350"/>
      <c r="N286" s="1350"/>
      <c r="O286" s="1350"/>
      <c r="P286" s="1350"/>
      <c r="Q286" s="1351"/>
      <c r="R286" s="155"/>
      <c r="S286" s="155"/>
      <c r="T286" s="155"/>
      <c r="U286" s="155"/>
      <c r="V286" s="155"/>
      <c r="W286" s="155"/>
      <c r="X286" s="155"/>
      <c r="Y286" s="155"/>
      <c r="Z286" s="155"/>
      <c r="AA286" s="209"/>
      <c r="AB286" s="590"/>
      <c r="AC286" s="590"/>
    </row>
    <row r="287" spans="1:29" ht="15" customHeight="1" x14ac:dyDescent="0.3">
      <c r="A287" s="573"/>
      <c r="B287" s="213"/>
      <c r="C287" s="1337" t="s">
        <v>229</v>
      </c>
      <c r="D287" s="886"/>
      <c r="E287" s="886"/>
      <c r="F287" s="886"/>
      <c r="G287" s="886"/>
      <c r="H287" s="886"/>
      <c r="I287" s="886"/>
      <c r="J287" s="886"/>
      <c r="K287" s="886"/>
      <c r="L287" s="886"/>
      <c r="M287" s="273"/>
      <c r="N287" s="272"/>
      <c r="O287" s="272"/>
      <c r="P287" s="272"/>
      <c r="Q287" s="272"/>
      <c r="R287" s="155"/>
      <c r="S287" s="155"/>
      <c r="T287" s="155"/>
      <c r="U287" s="155"/>
      <c r="V287" s="155"/>
      <c r="W287" s="155"/>
      <c r="X287" s="155"/>
      <c r="Y287" s="155"/>
      <c r="Z287" s="155"/>
      <c r="AA287" s="209"/>
      <c r="AB287" s="590"/>
      <c r="AC287" s="590"/>
    </row>
    <row r="288" spans="1:29" x14ac:dyDescent="0.25">
      <c r="A288" s="573"/>
      <c r="B288" s="213"/>
      <c r="C288" s="265"/>
      <c r="D288" s="166"/>
      <c r="E288" s="166"/>
      <c r="F288" s="155"/>
      <c r="G288" s="268"/>
      <c r="H288" s="573"/>
      <c r="I288" s="573"/>
      <c r="J288" s="573"/>
      <c r="K288" s="573"/>
      <c r="L288" s="573"/>
      <c r="M288" s="573"/>
      <c r="N288" s="573"/>
      <c r="O288" s="573"/>
      <c r="P288" s="573"/>
      <c r="Q288" s="155"/>
      <c r="R288" s="155"/>
      <c r="S288" s="155"/>
      <c r="T288" s="155"/>
      <c r="U288" s="155"/>
      <c r="V288" s="155"/>
      <c r="W288" s="155"/>
      <c r="X288" s="155"/>
      <c r="Y288" s="155"/>
      <c r="Z288" s="155"/>
      <c r="AA288" s="209"/>
      <c r="AB288" s="590"/>
      <c r="AC288" s="590"/>
    </row>
    <row r="289" spans="1:29" ht="15" customHeight="1" x14ac:dyDescent="0.25">
      <c r="A289" s="573"/>
      <c r="B289" s="213"/>
      <c r="C289" s="896" t="s">
        <v>230</v>
      </c>
      <c r="D289" s="865"/>
      <c r="E289" s="865"/>
      <c r="F289" s="865"/>
      <c r="G289" s="873"/>
      <c r="H289" s="874"/>
      <c r="I289" s="1352" t="str">
        <f>IF(Obligor="Parent A",Respondent,IF(Obligor="Parent B",Petitioner,""))</f>
        <v/>
      </c>
      <c r="J289" s="1305"/>
      <c r="K289" s="1305"/>
      <c r="L289" s="1305"/>
      <c r="M289" s="1305"/>
      <c r="N289" s="1305"/>
      <c r="O289" s="1305"/>
      <c r="P289" s="1305"/>
      <c r="Q289" s="1306"/>
      <c r="R289" s="155"/>
      <c r="S289" s="155"/>
      <c r="T289" s="155"/>
      <c r="U289" s="155"/>
      <c r="V289" s="155"/>
      <c r="W289" s="155"/>
      <c r="X289" s="155"/>
      <c r="Y289" s="155"/>
      <c r="Z289" s="155"/>
      <c r="AA289" s="209"/>
      <c r="AB289" s="590"/>
      <c r="AC289" s="590"/>
    </row>
    <row r="290" spans="1:29" ht="15" customHeight="1" x14ac:dyDescent="0.25">
      <c r="A290" s="573"/>
      <c r="B290" s="213"/>
      <c r="C290" s="206"/>
      <c r="D290" s="896" t="s">
        <v>226</v>
      </c>
      <c r="E290" s="865"/>
      <c r="F290" s="865"/>
      <c r="G290" s="865"/>
      <c r="H290" s="874"/>
      <c r="I290" s="1346"/>
      <c r="J290" s="1347"/>
      <c r="K290" s="1347"/>
      <c r="L290" s="1347"/>
      <c r="M290" s="1347"/>
      <c r="N290" s="1347"/>
      <c r="O290" s="1347"/>
      <c r="P290" s="1347"/>
      <c r="Q290" s="1348"/>
      <c r="R290" s="155"/>
      <c r="S290" s="155"/>
      <c r="T290" s="155"/>
      <c r="U290" s="155"/>
      <c r="V290" s="155"/>
      <c r="W290" s="155"/>
      <c r="X290" s="155"/>
      <c r="Y290" s="155"/>
      <c r="Z290" s="155"/>
      <c r="AA290" s="209"/>
      <c r="AB290" s="590"/>
      <c r="AC290" s="590"/>
    </row>
    <row r="291" spans="1:29" x14ac:dyDescent="0.25">
      <c r="A291" s="573"/>
      <c r="B291" s="213"/>
      <c r="C291" s="265"/>
      <c r="D291" s="166"/>
      <c r="E291" s="166"/>
      <c r="F291" s="155"/>
      <c r="G291" s="268"/>
      <c r="H291" s="573"/>
      <c r="I291" s="573"/>
      <c r="J291" s="573"/>
      <c r="K291" s="573"/>
      <c r="L291" s="573"/>
      <c r="M291" s="573"/>
      <c r="N291" s="573"/>
      <c r="O291" s="573"/>
      <c r="P291" s="573"/>
      <c r="Q291" s="155"/>
      <c r="R291" s="155"/>
      <c r="S291" s="155"/>
      <c r="T291" s="155"/>
      <c r="U291" s="155"/>
      <c r="V291" s="155"/>
      <c r="W291" s="155"/>
      <c r="X291" s="155"/>
      <c r="Y291" s="155"/>
      <c r="Z291" s="155"/>
      <c r="AA291" s="209"/>
      <c r="AB291" s="590"/>
      <c r="AC291" s="590"/>
    </row>
    <row r="292" spans="1:29" x14ac:dyDescent="0.25">
      <c r="A292" s="573"/>
      <c r="B292" s="213"/>
      <c r="C292" s="896" t="s">
        <v>231</v>
      </c>
      <c r="D292" s="865"/>
      <c r="E292" s="865"/>
      <c r="F292" s="865"/>
      <c r="G292" s="865"/>
      <c r="H292" s="865"/>
      <c r="I292" s="573"/>
      <c r="J292" s="573"/>
      <c r="K292" s="573"/>
      <c r="L292" s="573"/>
      <c r="M292" s="573"/>
      <c r="N292" s="573"/>
      <c r="O292" s="573"/>
      <c r="P292" s="573"/>
      <c r="Q292" s="155"/>
      <c r="R292" s="155"/>
      <c r="S292" s="155"/>
      <c r="T292" s="155"/>
      <c r="U292" s="155"/>
      <c r="V292" s="155"/>
      <c r="W292" s="155"/>
      <c r="X292" s="155"/>
      <c r="Y292" s="155"/>
      <c r="Z292" s="155"/>
      <c r="AA292" s="209"/>
      <c r="AB292" s="590"/>
      <c r="AC292" s="590"/>
    </row>
    <row r="293" spans="1:29" ht="15" customHeight="1" x14ac:dyDescent="0.25">
      <c r="A293" s="573"/>
      <c r="B293" s="260"/>
      <c r="C293" s="613"/>
      <c r="D293" s="1374" t="s">
        <v>232</v>
      </c>
      <c r="E293" s="951"/>
      <c r="F293" s="951"/>
      <c r="G293" s="1062"/>
      <c r="H293" s="874"/>
      <c r="I293" s="1384"/>
      <c r="J293" s="1354"/>
      <c r="K293" s="1354"/>
      <c r="L293" s="1354"/>
      <c r="M293" s="1354"/>
      <c r="N293" s="1354"/>
      <c r="O293" s="1354"/>
      <c r="P293" s="1354"/>
      <c r="Q293" s="1355"/>
      <c r="R293" s="155"/>
      <c r="S293" s="155"/>
      <c r="T293" s="155"/>
      <c r="U293" s="155"/>
      <c r="V293" s="155"/>
      <c r="W293" s="155"/>
      <c r="X293" s="155"/>
      <c r="Y293" s="155"/>
      <c r="Z293" s="155"/>
      <c r="AA293" s="209"/>
      <c r="AB293" s="590"/>
      <c r="AC293" s="590"/>
    </row>
    <row r="294" spans="1:29" ht="23.25" customHeight="1" x14ac:dyDescent="0.25">
      <c r="A294" s="573"/>
      <c r="B294" s="779"/>
      <c r="C294" s="1250" t="s">
        <v>45</v>
      </c>
      <c r="D294" s="1311"/>
      <c r="E294" s="1311"/>
      <c r="F294" s="1311"/>
      <c r="G294" s="1311"/>
      <c r="H294" s="1311"/>
      <c r="I294" s="1311"/>
      <c r="J294" s="1311"/>
      <c r="K294" s="1311"/>
      <c r="L294" s="1311"/>
      <c r="M294" s="1311"/>
      <c r="N294" s="1311"/>
      <c r="O294" s="1311"/>
      <c r="P294" s="1311"/>
      <c r="Q294" s="1311"/>
      <c r="R294" s="1311"/>
      <c r="S294" s="225"/>
      <c r="T294" s="225"/>
      <c r="U294" s="225"/>
      <c r="V294" s="225"/>
      <c r="W294" s="225"/>
      <c r="X294" s="225"/>
      <c r="Y294" s="155"/>
      <c r="Z294" s="155"/>
      <c r="AA294" s="209"/>
      <c r="AB294" s="590"/>
      <c r="AC294" s="590"/>
    </row>
    <row r="295" spans="1:29" ht="15" customHeight="1" x14ac:dyDescent="0.25">
      <c r="A295" s="573"/>
      <c r="B295" s="1356" t="s">
        <v>233</v>
      </c>
      <c r="C295" s="888"/>
      <c r="D295" s="888"/>
      <c r="E295" s="888"/>
      <c r="F295" s="888"/>
      <c r="G295" s="888"/>
      <c r="H295" s="888"/>
      <c r="I295" s="889"/>
      <c r="J295" s="1360" t="str">
        <f ca="1">IF(NOT(ISBLANK(D37)),D37,IF(Worksheet!V46="Calculate","",Worksheet!V46))</f>
        <v/>
      </c>
      <c r="K295" s="1361"/>
      <c r="L295" s="1361"/>
      <c r="M295" s="1361"/>
      <c r="N295" s="1361"/>
      <c r="O295" s="1362" t="str">
        <f ca="1">IF(NOT(ISBLANK(G37)),G37,Worksheet!Z46)</f>
        <v/>
      </c>
      <c r="P295" s="1363"/>
      <c r="Q295" s="225"/>
      <c r="R295" s="225"/>
      <c r="S295" s="225"/>
      <c r="T295" s="225"/>
      <c r="U295" s="1357"/>
      <c r="V295" s="1358"/>
      <c r="W295" s="1358"/>
      <c r="X295" s="1358"/>
      <c r="Y295" s="1358"/>
      <c r="Z295" s="1358"/>
      <c r="AA295" s="1359"/>
      <c r="AB295" s="590"/>
      <c r="AC295" s="590"/>
    </row>
    <row r="296" spans="1:29" ht="15" customHeight="1" x14ac:dyDescent="0.25">
      <c r="A296" s="573"/>
      <c r="B296" s="1356" t="s">
        <v>234</v>
      </c>
      <c r="C296" s="888"/>
      <c r="D296" s="888"/>
      <c r="E296" s="888"/>
      <c r="F296" s="888"/>
      <c r="G296" s="888"/>
      <c r="H296" s="888"/>
      <c r="I296" s="889"/>
      <c r="J296" s="1341"/>
      <c r="K296" s="1342"/>
      <c r="L296" s="1342"/>
      <c r="M296" s="1342"/>
      <c r="N296" s="1343"/>
      <c r="O296" s="1381"/>
      <c r="P296" s="1382"/>
      <c r="Q296" s="225"/>
      <c r="R296" s="225"/>
      <c r="S296" s="225"/>
      <c r="T296" s="225"/>
      <c r="U296" s="1339"/>
      <c r="V296" s="1339"/>
      <c r="W296" s="1339"/>
      <c r="X296" s="1339"/>
      <c r="Y296" s="1340"/>
      <c r="Z296" s="1340"/>
      <c r="AA296" s="209"/>
      <c r="AB296" s="590"/>
      <c r="AC296" s="590"/>
    </row>
    <row r="297" spans="1:29" ht="15" customHeight="1" x14ac:dyDescent="0.25">
      <c r="A297" s="573"/>
      <c r="B297" s="615"/>
      <c r="C297" s="687"/>
      <c r="D297" s="687"/>
      <c r="E297" s="687"/>
      <c r="F297" s="687"/>
      <c r="G297" s="687"/>
      <c r="H297" s="687"/>
      <c r="I297" s="653"/>
      <c r="J297" s="780"/>
      <c r="K297" s="781"/>
      <c r="L297" s="781"/>
      <c r="M297" s="781"/>
      <c r="N297" s="781"/>
      <c r="O297" s="782"/>
      <c r="P297" s="782"/>
      <c r="Q297" s="225"/>
      <c r="R297" s="225"/>
      <c r="S297" s="225"/>
      <c r="T297" s="225"/>
      <c r="U297" s="616"/>
      <c r="V297" s="616"/>
      <c r="W297" s="616"/>
      <c r="X297" s="616"/>
      <c r="Y297" s="617"/>
      <c r="Z297" s="617"/>
      <c r="AA297" s="209"/>
      <c r="AB297" s="590"/>
      <c r="AC297" s="590"/>
    </row>
    <row r="298" spans="1:29" ht="15" customHeight="1" x14ac:dyDescent="0.25">
      <c r="A298" s="573"/>
      <c r="B298" s="615"/>
      <c r="C298" s="1310" t="s">
        <v>235</v>
      </c>
      <c r="D298" s="1310"/>
      <c r="E298" s="1310"/>
      <c r="F298" s="1310"/>
      <c r="G298" s="1310"/>
      <c r="H298" s="1310"/>
      <c r="I298" s="1310"/>
      <c r="J298" s="1310"/>
      <c r="K298" s="1310"/>
      <c r="L298" s="1310"/>
      <c r="M298" s="1310"/>
      <c r="N298" s="1310"/>
      <c r="O298" s="1310"/>
      <c r="P298" s="1310"/>
      <c r="Q298" s="274"/>
      <c r="R298" s="1373" t="s">
        <v>236</v>
      </c>
      <c r="S298" s="1311"/>
      <c r="T298" s="274"/>
      <c r="U298" s="1373" t="s">
        <v>237</v>
      </c>
      <c r="V298" s="1311"/>
      <c r="W298" s="616"/>
      <c r="X298" s="616"/>
      <c r="Y298" s="617"/>
      <c r="Z298" s="617"/>
      <c r="AA298" s="209"/>
      <c r="AB298" s="590"/>
      <c r="AC298" s="590"/>
    </row>
    <row r="299" spans="1:29" ht="15" customHeight="1" x14ac:dyDescent="0.25">
      <c r="A299" s="573"/>
      <c r="B299" s="615"/>
      <c r="C299" s="607"/>
      <c r="D299" s="607"/>
      <c r="E299" s="607"/>
      <c r="F299" s="607"/>
      <c r="G299" s="607"/>
      <c r="H299" s="607"/>
      <c r="I299" s="607"/>
      <c r="J299" s="607"/>
      <c r="K299" s="607"/>
      <c r="L299" s="607"/>
      <c r="M299" s="607"/>
      <c r="N299" s="607"/>
      <c r="O299" s="607"/>
      <c r="P299" s="607"/>
      <c r="Q299" s="283"/>
      <c r="R299" s="267"/>
      <c r="S299" s="13"/>
      <c r="T299" s="283"/>
      <c r="U299" s="267"/>
      <c r="V299" s="608"/>
      <c r="W299" s="616"/>
      <c r="X299" s="616"/>
      <c r="Y299" s="617"/>
      <c r="Z299" s="617"/>
      <c r="AA299" s="209"/>
      <c r="AB299" s="590"/>
      <c r="AC299" s="590"/>
    </row>
    <row r="300" spans="1:29" ht="15" customHeight="1" x14ac:dyDescent="0.25">
      <c r="A300" s="573"/>
      <c r="B300" s="615"/>
      <c r="C300" s="1310" t="s">
        <v>238</v>
      </c>
      <c r="D300" s="1310"/>
      <c r="E300" s="1310"/>
      <c r="F300" s="1310"/>
      <c r="G300" s="1310"/>
      <c r="H300" s="1310"/>
      <c r="I300" s="1310"/>
      <c r="J300" s="1365"/>
      <c r="K300" s="1366"/>
      <c r="L300" s="1366"/>
      <c r="M300" s="1366"/>
      <c r="N300" s="1366"/>
      <c r="O300" s="1366"/>
      <c r="P300" s="1366"/>
      <c r="Q300" s="1366"/>
      <c r="R300" s="1366"/>
      <c r="S300" s="1366"/>
      <c r="T300" s="1367"/>
      <c r="U300" s="267"/>
      <c r="V300" s="270"/>
      <c r="W300" s="616"/>
      <c r="X300" s="616"/>
      <c r="Y300" s="617"/>
      <c r="Z300" s="617"/>
      <c r="AA300" s="209"/>
      <c r="AB300" s="590"/>
      <c r="AC300" s="590"/>
    </row>
    <row r="301" spans="1:29" ht="15" customHeight="1" x14ac:dyDescent="0.25">
      <c r="A301" s="573"/>
      <c r="B301" s="615"/>
      <c r="C301" s="1310" t="s">
        <v>239</v>
      </c>
      <c r="D301" s="1310"/>
      <c r="E301" s="1310"/>
      <c r="F301" s="1310"/>
      <c r="G301" s="1310"/>
      <c r="H301" s="1310"/>
      <c r="I301" s="1310"/>
      <c r="J301" s="1368"/>
      <c r="K301" s="1369"/>
      <c r="L301" s="1369"/>
      <c r="M301" s="1369"/>
      <c r="N301" s="1369"/>
      <c r="O301" s="1369"/>
      <c r="P301" s="1369"/>
      <c r="Q301" s="1369"/>
      <c r="R301" s="1369"/>
      <c r="S301" s="1369"/>
      <c r="T301" s="1370"/>
      <c r="U301" s="267"/>
      <c r="V301" s="270"/>
      <c r="W301" s="616"/>
      <c r="X301" s="616"/>
      <c r="Y301" s="617"/>
      <c r="Z301" s="617"/>
      <c r="AA301" s="209"/>
      <c r="AB301" s="590"/>
      <c r="AC301" s="590"/>
    </row>
    <row r="302" spans="1:29" ht="15" customHeight="1" x14ac:dyDescent="0.25">
      <c r="A302" s="573"/>
      <c r="B302" s="615"/>
      <c r="C302" s="607"/>
      <c r="D302" s="607"/>
      <c r="E302" s="607"/>
      <c r="F302" s="607"/>
      <c r="G302" s="607"/>
      <c r="H302" s="607"/>
      <c r="I302" s="607"/>
      <c r="J302" s="217"/>
      <c r="K302" s="614"/>
      <c r="L302" s="614"/>
      <c r="M302" s="614"/>
      <c r="N302" s="614"/>
      <c r="O302" s="614"/>
      <c r="P302" s="614"/>
      <c r="Q302" s="614"/>
      <c r="R302" s="614"/>
      <c r="S302" s="614"/>
      <c r="T302" s="614"/>
      <c r="U302" s="267"/>
      <c r="V302" s="270"/>
      <c r="W302" s="616"/>
      <c r="X302" s="616"/>
      <c r="Y302" s="617"/>
      <c r="Z302" s="617"/>
      <c r="AA302" s="209"/>
      <c r="AB302" s="590"/>
      <c r="AC302" s="590"/>
    </row>
    <row r="303" spans="1:29" ht="39.75" customHeight="1" x14ac:dyDescent="0.25">
      <c r="A303" s="573"/>
      <c r="B303" s="615"/>
      <c r="C303" s="1371" t="s">
        <v>240</v>
      </c>
      <c r="D303" s="1371"/>
      <c r="E303" s="1371"/>
      <c r="F303" s="1371"/>
      <c r="G303" s="1371"/>
      <c r="H303" s="1372"/>
      <c r="I303" s="1375"/>
      <c r="J303" s="1376"/>
      <c r="K303" s="1376"/>
      <c r="L303" s="1376"/>
      <c r="M303" s="1376"/>
      <c r="N303" s="1376"/>
      <c r="O303" s="1376"/>
      <c r="P303" s="1376"/>
      <c r="Q303" s="1376"/>
      <c r="R303" s="1376"/>
      <c r="S303" s="1376"/>
      <c r="T303" s="1376"/>
      <c r="U303" s="1376"/>
      <c r="V303" s="1376"/>
      <c r="W303" s="1376"/>
      <c r="X303" s="1376"/>
      <c r="Y303" s="1376"/>
      <c r="Z303" s="1377"/>
      <c r="AA303" s="209"/>
      <c r="AB303" s="590"/>
      <c r="AC303" s="590"/>
    </row>
    <row r="304" spans="1:29" ht="15" customHeight="1" x14ac:dyDescent="0.25">
      <c r="A304" s="573"/>
      <c r="B304" s="615"/>
      <c r="C304" s="607"/>
      <c r="D304" s="607"/>
      <c r="E304" s="607"/>
      <c r="F304" s="607"/>
      <c r="G304" s="607"/>
      <c r="H304" s="607"/>
      <c r="I304" s="1380"/>
      <c r="J304" s="1380"/>
      <c r="K304" s="1380"/>
      <c r="L304" s="1380"/>
      <c r="M304" s="1380"/>
      <c r="N304" s="1380"/>
      <c r="O304" s="1380"/>
      <c r="P304" s="1380"/>
      <c r="Q304" s="1380"/>
      <c r="R304" s="1380"/>
      <c r="S304" s="1380"/>
      <c r="T304" s="1380"/>
      <c r="U304" s="1380"/>
      <c r="V304" s="1380"/>
      <c r="W304" s="1380"/>
      <c r="X304" s="1380"/>
      <c r="Y304" s="1380"/>
      <c r="Z304" s="1380"/>
      <c r="AA304" s="209"/>
      <c r="AB304" s="590"/>
      <c r="AC304" s="590"/>
    </row>
    <row r="305" spans="1:36" ht="39" customHeight="1" x14ac:dyDescent="0.25">
      <c r="A305" s="573"/>
      <c r="B305" s="615"/>
      <c r="C305" s="1371" t="s">
        <v>241</v>
      </c>
      <c r="D305" s="1371"/>
      <c r="E305" s="1371"/>
      <c r="F305" s="1371"/>
      <c r="G305" s="1371"/>
      <c r="H305" s="1372"/>
      <c r="I305" s="1375"/>
      <c r="J305" s="1376"/>
      <c r="K305" s="1376"/>
      <c r="L305" s="1376"/>
      <c r="M305" s="1376"/>
      <c r="N305" s="1376"/>
      <c r="O305" s="1376"/>
      <c r="P305" s="1376"/>
      <c r="Q305" s="1376"/>
      <c r="R305" s="1376"/>
      <c r="S305" s="1376"/>
      <c r="T305" s="1376"/>
      <c r="U305" s="1376"/>
      <c r="V305" s="1376"/>
      <c r="W305" s="1376"/>
      <c r="X305" s="1376"/>
      <c r="Y305" s="1376"/>
      <c r="Z305" s="1377"/>
      <c r="AA305" s="209"/>
      <c r="AB305" s="590"/>
      <c r="AC305" s="590"/>
      <c r="AD305" s="206"/>
      <c r="AE305" s="206"/>
      <c r="AF305" s="206"/>
      <c r="AG305" s="206"/>
      <c r="AH305" s="206"/>
      <c r="AI305" s="206"/>
      <c r="AJ305" s="206"/>
    </row>
    <row r="306" spans="1:36" ht="15" customHeight="1" x14ac:dyDescent="0.25">
      <c r="A306" s="573"/>
      <c r="B306" s="615"/>
      <c r="C306" s="607"/>
      <c r="D306" s="607"/>
      <c r="E306" s="607"/>
      <c r="F306" s="607"/>
      <c r="G306" s="607"/>
      <c r="H306" s="607"/>
      <c r="I306" s="1380"/>
      <c r="J306" s="1380"/>
      <c r="K306" s="1380"/>
      <c r="L306" s="1380"/>
      <c r="M306" s="1380"/>
      <c r="N306" s="1380"/>
      <c r="O306" s="1380"/>
      <c r="P306" s="1380"/>
      <c r="Q306" s="1380"/>
      <c r="R306" s="1380"/>
      <c r="S306" s="1380"/>
      <c r="T306" s="1380"/>
      <c r="U306" s="1380"/>
      <c r="V306" s="1380"/>
      <c r="W306" s="1380"/>
      <c r="X306" s="1380"/>
      <c r="Y306" s="1380"/>
      <c r="Z306" s="1380"/>
      <c r="AA306" s="209"/>
      <c r="AB306" s="590"/>
      <c r="AC306" s="590"/>
      <c r="AD306" s="206"/>
      <c r="AE306" s="206"/>
      <c r="AF306" s="206"/>
      <c r="AG306" s="206"/>
      <c r="AH306" s="206"/>
      <c r="AI306" s="206"/>
      <c r="AJ306" s="206"/>
    </row>
    <row r="307" spans="1:36" ht="53.25" customHeight="1" x14ac:dyDescent="0.25">
      <c r="A307" s="573"/>
      <c r="B307" s="615"/>
      <c r="C307" s="1371" t="s">
        <v>242</v>
      </c>
      <c r="D307" s="1371"/>
      <c r="E307" s="1371"/>
      <c r="F307" s="1371"/>
      <c r="G307" s="1371"/>
      <c r="H307" s="1372"/>
      <c r="I307" s="1375"/>
      <c r="J307" s="1376"/>
      <c r="K307" s="1376"/>
      <c r="L307" s="1376"/>
      <c r="M307" s="1376"/>
      <c r="N307" s="1376"/>
      <c r="O307" s="1376"/>
      <c r="P307" s="1376"/>
      <c r="Q307" s="1376"/>
      <c r="R307" s="1376"/>
      <c r="S307" s="1376"/>
      <c r="T307" s="1376"/>
      <c r="U307" s="1376"/>
      <c r="V307" s="1376"/>
      <c r="W307" s="1376"/>
      <c r="X307" s="1376"/>
      <c r="Y307" s="1376"/>
      <c r="Z307" s="1377"/>
      <c r="AA307" s="209"/>
      <c r="AB307" s="590"/>
      <c r="AC307" s="590"/>
      <c r="AD307" s="206"/>
      <c r="AE307" s="206"/>
      <c r="AF307" s="206"/>
      <c r="AG307" s="206"/>
      <c r="AH307" s="206"/>
      <c r="AI307" s="206"/>
      <c r="AJ307" s="206"/>
    </row>
    <row r="308" spans="1:36" x14ac:dyDescent="0.25">
      <c r="A308" s="573"/>
      <c r="B308" s="749"/>
      <c r="C308" s="748"/>
      <c r="D308" s="748"/>
      <c r="E308" s="748"/>
      <c r="F308" s="748"/>
      <c r="G308" s="101"/>
      <c r="H308" s="748"/>
      <c r="I308" s="748"/>
      <c r="J308" s="748"/>
      <c r="K308" s="748"/>
      <c r="L308" s="748"/>
      <c r="M308" s="748"/>
      <c r="N308" s="748"/>
      <c r="O308" s="748"/>
      <c r="P308" s="1364" t="str">
        <f>IF(AND(NOT(ISBLANK(Q298)),NOT(ISBLANK(T298))),"Error-Can't Check Both","")</f>
        <v/>
      </c>
      <c r="Q308" s="1364"/>
      <c r="R308" s="1364"/>
      <c r="S308" s="1364"/>
      <c r="T308" s="1364"/>
      <c r="U308" s="1364"/>
      <c r="V308" s="1364"/>
      <c r="W308" s="748"/>
      <c r="X308" s="748"/>
      <c r="Y308" s="748"/>
      <c r="Z308" s="748"/>
      <c r="AA308" s="757"/>
      <c r="AB308" s="590"/>
      <c r="AC308" s="590"/>
      <c r="AD308" s="206"/>
      <c r="AE308" s="206"/>
      <c r="AF308" s="206"/>
      <c r="AG308" s="206"/>
      <c r="AH308" s="206"/>
      <c r="AI308" s="206"/>
      <c r="AJ308" s="206"/>
    </row>
    <row r="309" spans="1:36" x14ac:dyDescent="0.25">
      <c r="A309" s="573"/>
      <c r="B309" s="255"/>
      <c r="C309" s="255"/>
      <c r="D309" s="255"/>
      <c r="E309" s="255"/>
      <c r="F309" s="255"/>
      <c r="G309" s="252"/>
      <c r="H309" s="251"/>
      <c r="I309" s="251"/>
      <c r="J309" s="251"/>
      <c r="K309" s="251"/>
      <c r="L309" s="251"/>
      <c r="M309" s="251"/>
      <c r="N309" s="265"/>
      <c r="O309" s="265"/>
      <c r="P309" s="265"/>
      <c r="Q309" s="265"/>
      <c r="R309" s="265"/>
      <c r="S309" s="265"/>
      <c r="T309" s="265"/>
      <c r="U309" s="265"/>
      <c r="V309" s="265"/>
      <c r="W309" s="265"/>
      <c r="X309" s="265"/>
      <c r="Y309" s="265"/>
      <c r="Z309" s="265"/>
      <c r="AA309" s="265"/>
      <c r="AB309" s="590"/>
      <c r="AC309" s="590"/>
      <c r="AD309" s="206"/>
      <c r="AE309" s="206"/>
      <c r="AF309" s="206"/>
      <c r="AG309" s="206"/>
      <c r="AH309" s="206"/>
      <c r="AI309" s="206"/>
      <c r="AJ309" s="206"/>
    </row>
    <row r="310" spans="1:36" ht="12.75" customHeight="1" x14ac:dyDescent="0.25">
      <c r="A310" s="573"/>
      <c r="B310" s="256"/>
      <c r="C310" s="256"/>
      <c r="D310" s="256"/>
      <c r="E310" s="256"/>
      <c r="F310" s="256"/>
      <c r="G310" s="254"/>
      <c r="H310" s="253"/>
      <c r="I310" s="253"/>
      <c r="J310" s="253"/>
      <c r="K310" s="253"/>
      <c r="L310" s="253"/>
      <c r="M310" s="253"/>
      <c r="N310" s="155"/>
      <c r="O310" s="155"/>
      <c r="P310" s="155"/>
      <c r="Q310" s="155"/>
      <c r="R310" s="155"/>
      <c r="S310" s="155"/>
      <c r="T310" s="155"/>
      <c r="U310" s="155"/>
      <c r="V310" s="155"/>
      <c r="W310" s="155"/>
      <c r="X310" s="155"/>
      <c r="Y310" s="155"/>
      <c r="Z310" s="155"/>
      <c r="AA310" s="155"/>
      <c r="AB310" s="590"/>
      <c r="AC310" s="590"/>
      <c r="AD310" s="573"/>
      <c r="AE310" s="573"/>
      <c r="AF310" s="573"/>
      <c r="AG310" s="573"/>
      <c r="AH310" s="573"/>
      <c r="AI310" s="573"/>
      <c r="AJ310" s="573"/>
    </row>
    <row r="311" spans="1:36" x14ac:dyDescent="0.25">
      <c r="A311" s="573"/>
      <c r="B311" s="253"/>
      <c r="C311" s="253"/>
      <c r="D311" s="253"/>
      <c r="E311" s="253"/>
      <c r="F311" s="253"/>
      <c r="G311" s="254"/>
      <c r="H311" s="253"/>
      <c r="I311" s="253"/>
      <c r="J311" s="253"/>
      <c r="K311" s="253"/>
      <c r="L311" s="253"/>
      <c r="M311" s="253"/>
      <c r="N311" s="155"/>
      <c r="O311" s="155"/>
      <c r="P311" s="155"/>
      <c r="Q311" s="155"/>
      <c r="R311" s="155"/>
      <c r="S311" s="155"/>
      <c r="T311" s="155"/>
      <c r="U311" s="155"/>
      <c r="V311" s="155"/>
      <c r="W311" s="155"/>
      <c r="X311" s="155"/>
      <c r="Y311" s="155"/>
      <c r="Z311" s="155"/>
      <c r="AA311" s="155"/>
      <c r="AB311" s="590"/>
      <c r="AC311" s="590"/>
      <c r="AD311" s="573"/>
      <c r="AE311" s="573"/>
      <c r="AF311" s="573"/>
      <c r="AG311" s="573"/>
      <c r="AH311" s="573"/>
      <c r="AI311" s="573"/>
      <c r="AJ311" s="573"/>
    </row>
    <row r="312" spans="1:36" ht="367.5" customHeight="1" x14ac:dyDescent="0.25">
      <c r="A312" s="573"/>
      <c r="B312" s="573"/>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92"/>
      <c r="AC312" s="592"/>
      <c r="AD312" s="573"/>
      <c r="AE312" s="573"/>
      <c r="AF312" s="573"/>
      <c r="AG312" s="573"/>
      <c r="AH312" s="573"/>
      <c r="AI312" s="573"/>
      <c r="AJ312" s="573"/>
    </row>
    <row r="313" spans="1:36" x14ac:dyDescent="0.25">
      <c r="A313" s="573"/>
      <c r="B313" s="573"/>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92"/>
      <c r="AC313" s="592"/>
      <c r="AD313" s="573"/>
      <c r="AE313" s="573"/>
      <c r="AF313" s="573"/>
      <c r="AG313" s="573"/>
      <c r="AH313" s="573"/>
      <c r="AI313" s="573"/>
      <c r="AJ313" s="573"/>
    </row>
    <row r="314" spans="1:36" x14ac:dyDescent="0.25">
      <c r="A314" s="203"/>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3"/>
      <c r="Z314" s="203"/>
      <c r="AA314" s="203"/>
      <c r="AB314" s="592"/>
      <c r="AC314" s="592"/>
      <c r="AD314" s="206"/>
      <c r="AE314" s="206"/>
      <c r="AF314" s="206"/>
      <c r="AG314" s="206"/>
      <c r="AH314" s="206"/>
      <c r="AI314" s="206"/>
      <c r="AJ314" s="206"/>
    </row>
    <row r="315" spans="1:36" x14ac:dyDescent="0.25">
      <c r="A315" s="203"/>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3"/>
      <c r="Z315" s="203"/>
      <c r="AA315" s="203"/>
      <c r="AB315" s="592"/>
      <c r="AC315" s="592"/>
      <c r="AD315" s="206"/>
      <c r="AE315" s="206"/>
      <c r="AF315" s="206"/>
      <c r="AG315" s="206"/>
      <c r="AH315" s="206"/>
      <c r="AI315" s="206"/>
      <c r="AJ315" s="206"/>
    </row>
    <row r="316" spans="1:36" x14ac:dyDescent="0.25">
      <c r="A316" s="203"/>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3"/>
      <c r="Z316" s="203"/>
      <c r="AA316" s="203"/>
      <c r="AB316" s="592"/>
      <c r="AC316" s="592"/>
      <c r="AD316" s="206"/>
      <c r="AE316" s="206"/>
      <c r="AF316" s="206"/>
      <c r="AG316" s="206"/>
      <c r="AH316" s="206"/>
      <c r="AI316" s="206"/>
      <c r="AJ316" s="206"/>
    </row>
    <row r="317" spans="1:36" x14ac:dyDescent="0.25">
      <c r="A317" s="203"/>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3"/>
      <c r="Z317" s="203"/>
      <c r="AA317" s="203"/>
      <c r="AB317" s="592"/>
      <c r="AC317" s="592"/>
      <c r="AD317" s="206"/>
      <c r="AE317" s="206"/>
      <c r="AF317" s="206"/>
      <c r="AG317" s="206"/>
      <c r="AH317" s="206"/>
      <c r="AI317" s="206"/>
      <c r="AJ317" s="206"/>
    </row>
    <row r="318" spans="1:36" x14ac:dyDescent="0.25">
      <c r="A318" s="203"/>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3"/>
      <c r="Z318" s="203"/>
      <c r="AA318" s="203"/>
      <c r="AB318" s="592"/>
      <c r="AC318" s="592"/>
      <c r="AD318" s="206"/>
      <c r="AE318" s="206"/>
      <c r="AF318" s="206"/>
      <c r="AG318" s="206"/>
      <c r="AH318" s="206"/>
      <c r="AI318" s="206"/>
      <c r="AJ318" s="206"/>
    </row>
    <row r="319" spans="1:36" x14ac:dyDescent="0.25">
      <c r="A319" s="203"/>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3"/>
      <c r="Z319" s="203"/>
      <c r="AA319" s="203"/>
      <c r="AB319" s="592"/>
      <c r="AC319" s="592"/>
      <c r="AD319" s="206"/>
      <c r="AE319" s="206"/>
      <c r="AF319" s="206"/>
      <c r="AG319" s="206"/>
      <c r="AH319" s="206"/>
      <c r="AI319" s="206"/>
      <c r="AJ319" s="206"/>
    </row>
    <row r="320" spans="1:36" x14ac:dyDescent="0.25">
      <c r="A320" s="203"/>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3"/>
      <c r="Z320" s="203"/>
      <c r="AA320" s="203"/>
      <c r="AB320" s="592"/>
      <c r="AC320" s="592"/>
      <c r="AD320" s="206"/>
      <c r="AE320" s="206"/>
      <c r="AF320" s="206"/>
      <c r="AG320" s="206"/>
      <c r="AH320" s="206"/>
      <c r="AI320" s="206"/>
      <c r="AJ320" s="206"/>
    </row>
    <row r="321" spans="1:29" x14ac:dyDescent="0.25">
      <c r="A321" s="203"/>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3"/>
      <c r="Z321" s="203"/>
      <c r="AA321" s="203"/>
      <c r="AB321" s="592"/>
      <c r="AC321" s="592"/>
    </row>
    <row r="322" spans="1:29" x14ac:dyDescent="0.25">
      <c r="A322" s="203"/>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3"/>
      <c r="Z322" s="203"/>
      <c r="AA322" s="203"/>
      <c r="AB322" s="592"/>
      <c r="AC322" s="592"/>
    </row>
    <row r="323" spans="1:29" x14ac:dyDescent="0.25">
      <c r="A323" s="203"/>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3"/>
      <c r="Z323" s="203"/>
      <c r="AA323" s="203"/>
      <c r="AB323" s="592"/>
      <c r="AC323" s="592"/>
    </row>
  </sheetData>
  <sheetProtection algorithmName="SHA-512" hashValue="nbpIrqSPuW4hW0/pV29XMIzNJ/SfoTfqmpa9nflxdvlDfssncTads559AATR9iA/AjOeGgYBwRWfdyHK/MNveg==" saltValue="2xd+UrzLrZ1rCos6LtMIdA==" spinCount="100000" sheet="1" selectLockedCells="1"/>
  <mergeCells count="564">
    <mergeCell ref="I306:Z306"/>
    <mergeCell ref="I304:Z304"/>
    <mergeCell ref="O296:P296"/>
    <mergeCell ref="B157:C157"/>
    <mergeCell ref="E171:H171"/>
    <mergeCell ref="E170:H170"/>
    <mergeCell ref="U170:W170"/>
    <mergeCell ref="U171:W171"/>
    <mergeCell ref="O160:Q160"/>
    <mergeCell ref="L158:N158"/>
    <mergeCell ref="L164:Z164"/>
    <mergeCell ref="L157:N157"/>
    <mergeCell ref="U160:W160"/>
    <mergeCell ref="E158:H158"/>
    <mergeCell ref="R167:T167"/>
    <mergeCell ref="U167:W167"/>
    <mergeCell ref="L165:N165"/>
    <mergeCell ref="E166:H166"/>
    <mergeCell ref="X157:Z157"/>
    <mergeCell ref="X158:Z158"/>
    <mergeCell ref="R166:T166"/>
    <mergeCell ref="I285:Q285"/>
    <mergeCell ref="I293:Q293"/>
    <mergeCell ref="I238:P238"/>
    <mergeCell ref="R160:T160"/>
    <mergeCell ref="R159:T159"/>
    <mergeCell ref="U159:W159"/>
    <mergeCell ref="X159:Z159"/>
    <mergeCell ref="L159:N159"/>
    <mergeCell ref="X160:Z160"/>
    <mergeCell ref="L160:N160"/>
    <mergeCell ref="E160:H160"/>
    <mergeCell ref="N217:R217"/>
    <mergeCell ref="N195:R195"/>
    <mergeCell ref="I166:K166"/>
    <mergeCell ref="E164:H165"/>
    <mergeCell ref="E204:Z204"/>
    <mergeCell ref="N205:R205"/>
    <mergeCell ref="N197:R197"/>
    <mergeCell ref="E198:Z198"/>
    <mergeCell ref="N199:R199"/>
    <mergeCell ref="E200:Z200"/>
    <mergeCell ref="N201:R201"/>
    <mergeCell ref="O167:Q167"/>
    <mergeCell ref="E190:Z190"/>
    <mergeCell ref="R168:T168"/>
    <mergeCell ref="L171:N171"/>
    <mergeCell ref="E194:Z194"/>
    <mergeCell ref="E218:Z218"/>
    <mergeCell ref="E206:Z206"/>
    <mergeCell ref="N207:R207"/>
    <mergeCell ref="E208:Z208"/>
    <mergeCell ref="N209:R209"/>
    <mergeCell ref="E212:Z212"/>
    <mergeCell ref="N213:R213"/>
    <mergeCell ref="E210:Z210"/>
    <mergeCell ref="N211:R211"/>
    <mergeCell ref="B213:M213"/>
    <mergeCell ref="E214:Z214"/>
    <mergeCell ref="P308:V308"/>
    <mergeCell ref="C301:I301"/>
    <mergeCell ref="C300:I300"/>
    <mergeCell ref="J300:T300"/>
    <mergeCell ref="J301:T301"/>
    <mergeCell ref="C307:H307"/>
    <mergeCell ref="U298:V298"/>
    <mergeCell ref="C283:H283"/>
    <mergeCell ref="D285:H285"/>
    <mergeCell ref="D293:H293"/>
    <mergeCell ref="C292:H292"/>
    <mergeCell ref="I284:Q284"/>
    <mergeCell ref="C289:H289"/>
    <mergeCell ref="D284:H284"/>
    <mergeCell ref="D290:H290"/>
    <mergeCell ref="I289:Q289"/>
    <mergeCell ref="I307:Z307"/>
    <mergeCell ref="C303:H303"/>
    <mergeCell ref="I303:Z303"/>
    <mergeCell ref="C305:H305"/>
    <mergeCell ref="I305:Z305"/>
    <mergeCell ref="C298:P298"/>
    <mergeCell ref="R298:S298"/>
    <mergeCell ref="B296:I296"/>
    <mergeCell ref="U296:Z296"/>
    <mergeCell ref="J296:N296"/>
    <mergeCell ref="C294:R294"/>
    <mergeCell ref="H269:Q269"/>
    <mergeCell ref="R269:T269"/>
    <mergeCell ref="U269:Y269"/>
    <mergeCell ref="H274:I274"/>
    <mergeCell ref="I290:Q290"/>
    <mergeCell ref="D286:H286"/>
    <mergeCell ref="I286:Q286"/>
    <mergeCell ref="I283:Q283"/>
    <mergeCell ref="I281:R281"/>
    <mergeCell ref="B295:I295"/>
    <mergeCell ref="U295:AA295"/>
    <mergeCell ref="N274:V274"/>
    <mergeCell ref="H275:L275"/>
    <mergeCell ref="J295:N295"/>
    <mergeCell ref="O295:P295"/>
    <mergeCell ref="C281:H281"/>
    <mergeCell ref="B265:AA265"/>
    <mergeCell ref="I280:R280"/>
    <mergeCell ref="J274:M274"/>
    <mergeCell ref="B264:AA264"/>
    <mergeCell ref="I278:R278"/>
    <mergeCell ref="I279:R279"/>
    <mergeCell ref="C287:L287"/>
    <mergeCell ref="D279:H279"/>
    <mergeCell ref="D278:H278"/>
    <mergeCell ref="D280:H280"/>
    <mergeCell ref="P275:X275"/>
    <mergeCell ref="C261:AA261"/>
    <mergeCell ref="G262:R262"/>
    <mergeCell ref="S262:U262"/>
    <mergeCell ref="B250:F250"/>
    <mergeCell ref="T260:Z260"/>
    <mergeCell ref="I260:S260"/>
    <mergeCell ref="I259:S259"/>
    <mergeCell ref="C256:AA256"/>
    <mergeCell ref="L258:AA258"/>
    <mergeCell ref="H258:K258"/>
    <mergeCell ref="B257:F258"/>
    <mergeCell ref="T259:Z259"/>
    <mergeCell ref="B255:AA255"/>
    <mergeCell ref="B223:F223"/>
    <mergeCell ref="J245:R245"/>
    <mergeCell ref="X166:Z166"/>
    <mergeCell ref="O159:Q159"/>
    <mergeCell ref="B238:H238"/>
    <mergeCell ref="B245:I245"/>
    <mergeCell ref="E202:Z202"/>
    <mergeCell ref="N203:R203"/>
    <mergeCell ref="N215:R215"/>
    <mergeCell ref="E216:Z216"/>
    <mergeCell ref="E159:H159"/>
    <mergeCell ref="L166:N166"/>
    <mergeCell ref="I159:K159"/>
    <mergeCell ref="Q231:T231"/>
    <mergeCell ref="U238:Z238"/>
    <mergeCell ref="U231:Z231"/>
    <mergeCell ref="B220:AA220"/>
    <mergeCell ref="Q238:T238"/>
    <mergeCell ref="B221:AA221"/>
    <mergeCell ref="I231:P231"/>
    <mergeCell ref="B231:H231"/>
    <mergeCell ref="X171:Z171"/>
    <mergeCell ref="E196:Z196"/>
    <mergeCell ref="E188:Z188"/>
    <mergeCell ref="G123:M123"/>
    <mergeCell ref="N125:Q125"/>
    <mergeCell ref="R125:U125"/>
    <mergeCell ref="B53:T53"/>
    <mergeCell ref="C58:F58"/>
    <mergeCell ref="Y77:AA77"/>
    <mergeCell ref="S107:U107"/>
    <mergeCell ref="Y57:AA57"/>
    <mergeCell ref="Y56:AA56"/>
    <mergeCell ref="U55:W55"/>
    <mergeCell ref="Y55:AA55"/>
    <mergeCell ref="Z60:AA64"/>
    <mergeCell ref="C73:P73"/>
    <mergeCell ref="L96:R96"/>
    <mergeCell ref="B92:F92"/>
    <mergeCell ref="C72:S72"/>
    <mergeCell ref="B78:M78"/>
    <mergeCell ref="H96:J96"/>
    <mergeCell ref="C76:S76"/>
    <mergeCell ref="Y80:AA81"/>
    <mergeCell ref="B81:S81"/>
    <mergeCell ref="S96:V96"/>
    <mergeCell ref="Y73:AA73"/>
    <mergeCell ref="Y59:AA59"/>
    <mergeCell ref="U154:W154"/>
    <mergeCell ref="U158:W158"/>
    <mergeCell ref="I153:K154"/>
    <mergeCell ref="G136:M136"/>
    <mergeCell ref="G145:H145"/>
    <mergeCell ref="N145:O145"/>
    <mergeCell ref="L156:N156"/>
    <mergeCell ref="E156:H156"/>
    <mergeCell ref="U156:W156"/>
    <mergeCell ref="O156:Q156"/>
    <mergeCell ref="I156:K156"/>
    <mergeCell ref="I143:J143"/>
    <mergeCell ref="U157:W157"/>
    <mergeCell ref="E157:H157"/>
    <mergeCell ref="E155:H155"/>
    <mergeCell ref="O155:Q155"/>
    <mergeCell ref="L154:N154"/>
    <mergeCell ref="P145:R145"/>
    <mergeCell ref="U155:W155"/>
    <mergeCell ref="I155:K155"/>
    <mergeCell ref="E153:H154"/>
    <mergeCell ref="H139:AA139"/>
    <mergeCell ref="R157:T157"/>
    <mergeCell ref="O154:Q154"/>
    <mergeCell ref="G126:M126"/>
    <mergeCell ref="G130:Q130"/>
    <mergeCell ref="L155:N155"/>
    <mergeCell ref="R156:T156"/>
    <mergeCell ref="S135:W135"/>
    <mergeCell ref="G134:AA134"/>
    <mergeCell ref="G143:H143"/>
    <mergeCell ref="K145:M145"/>
    <mergeCell ref="K143:M143"/>
    <mergeCell ref="N143:O143"/>
    <mergeCell ref="I145:J145"/>
    <mergeCell ref="G135:M135"/>
    <mergeCell ref="P143:R143"/>
    <mergeCell ref="B138:AA138"/>
    <mergeCell ref="N135:R135"/>
    <mergeCell ref="G133:Q133"/>
    <mergeCell ref="R133:U133"/>
    <mergeCell ref="B150:AA150"/>
    <mergeCell ref="R155:T155"/>
    <mergeCell ref="X156:Z156"/>
    <mergeCell ref="B140:G141"/>
    <mergeCell ref="R154:T154"/>
    <mergeCell ref="X155:Z155"/>
    <mergeCell ref="X154:Z154"/>
    <mergeCell ref="R130:U130"/>
    <mergeCell ref="N131:Q131"/>
    <mergeCell ref="G128:M128"/>
    <mergeCell ref="N128:Q128"/>
    <mergeCell ref="G131:M131"/>
    <mergeCell ref="N129:Q129"/>
    <mergeCell ref="R132:U132"/>
    <mergeCell ref="R131:U131"/>
    <mergeCell ref="G132:Q132"/>
    <mergeCell ref="R169:T169"/>
    <mergeCell ref="B186:AA186"/>
    <mergeCell ref="I171:K171"/>
    <mergeCell ref="N187:R187"/>
    <mergeCell ref="I168:K168"/>
    <mergeCell ref="X120:AA120"/>
    <mergeCell ref="T110:Z111"/>
    <mergeCell ref="N126:Q126"/>
    <mergeCell ref="G127:M127"/>
    <mergeCell ref="E168:H168"/>
    <mergeCell ref="U166:W166"/>
    <mergeCell ref="O168:Q168"/>
    <mergeCell ref="X167:Z167"/>
    <mergeCell ref="O166:Q166"/>
    <mergeCell ref="E167:H167"/>
    <mergeCell ref="X168:Z168"/>
    <mergeCell ref="R127:U127"/>
    <mergeCell ref="R126:U126"/>
    <mergeCell ref="G124:M124"/>
    <mergeCell ref="R128:U128"/>
    <mergeCell ref="R124:U124"/>
    <mergeCell ref="R129:U129"/>
    <mergeCell ref="G129:M129"/>
    <mergeCell ref="N136:R136"/>
    <mergeCell ref="C57:F57"/>
    <mergeCell ref="Y54:AA54"/>
    <mergeCell ref="C55:P55"/>
    <mergeCell ref="C56:P56"/>
    <mergeCell ref="C54:P54"/>
    <mergeCell ref="O57:Q57"/>
    <mergeCell ref="Z43:AA43"/>
    <mergeCell ref="P43:Q43"/>
    <mergeCell ref="N189:R189"/>
    <mergeCell ref="R158:T158"/>
    <mergeCell ref="I158:K158"/>
    <mergeCell ref="I157:K157"/>
    <mergeCell ref="X165:Z165"/>
    <mergeCell ref="L167:N167"/>
    <mergeCell ref="U165:W165"/>
    <mergeCell ref="O158:Q158"/>
    <mergeCell ref="I167:K167"/>
    <mergeCell ref="I164:K165"/>
    <mergeCell ref="O165:Q165"/>
    <mergeCell ref="I160:K160"/>
    <mergeCell ref="R165:T165"/>
    <mergeCell ref="L153:Z153"/>
    <mergeCell ref="N124:Q124"/>
    <mergeCell ref="O157:Q157"/>
    <mergeCell ref="U51:W52"/>
    <mergeCell ref="B51:G52"/>
    <mergeCell ref="R44:S44"/>
    <mergeCell ref="V42:W42"/>
    <mergeCell ref="X51:X52"/>
    <mergeCell ref="N47:T47"/>
    <mergeCell ref="X43:Y43"/>
    <mergeCell ref="Z46:AA46"/>
    <mergeCell ref="B49:E49"/>
    <mergeCell ref="F49:I49"/>
    <mergeCell ref="Z44:AA44"/>
    <mergeCell ref="Y51:AA52"/>
    <mergeCell ref="L37:L46"/>
    <mergeCell ref="V45:Y45"/>
    <mergeCell ref="X49:X50"/>
    <mergeCell ref="B38:K38"/>
    <mergeCell ref="P50:R50"/>
    <mergeCell ref="M50:O50"/>
    <mergeCell ref="S50:T50"/>
    <mergeCell ref="B41:K41"/>
    <mergeCell ref="Z42:AA42"/>
    <mergeCell ref="R42:S42"/>
    <mergeCell ref="U49:W50"/>
    <mergeCell ref="B1:H1"/>
    <mergeCell ref="I1:L1"/>
    <mergeCell ref="M1:AA1"/>
    <mergeCell ref="O31:Q31"/>
    <mergeCell ref="R31:T31"/>
    <mergeCell ref="B45:K45"/>
    <mergeCell ref="B33:AA33"/>
    <mergeCell ref="C6:D6"/>
    <mergeCell ref="E4:AA4"/>
    <mergeCell ref="E5:AA5"/>
    <mergeCell ref="E6:AA6"/>
    <mergeCell ref="B4:B6"/>
    <mergeCell ref="M20:R20"/>
    <mergeCell ref="F14:N14"/>
    <mergeCell ref="B2:AA2"/>
    <mergeCell ref="B8:AA8"/>
    <mergeCell ref="M37:M47"/>
    <mergeCell ref="N37:O37"/>
    <mergeCell ref="X42:Y42"/>
    <mergeCell ref="P42:Q42"/>
    <mergeCell ref="V43:W43"/>
    <mergeCell ref="V44:W44"/>
    <mergeCell ref="B3:AA3"/>
    <mergeCell ref="B42:K42"/>
    <mergeCell ref="J35:K35"/>
    <mergeCell ref="N40:AA40"/>
    <mergeCell ref="N38:AA39"/>
    <mergeCell ref="R35:Z36"/>
    <mergeCell ref="M23:R23"/>
    <mergeCell ref="I24:L24"/>
    <mergeCell ref="X18:Z23"/>
    <mergeCell ref="S22:T22"/>
    <mergeCell ref="F22:L22"/>
    <mergeCell ref="U22:W22"/>
    <mergeCell ref="S23:T23"/>
    <mergeCell ref="F23:L23"/>
    <mergeCell ref="X24:Z24"/>
    <mergeCell ref="S24:T24"/>
    <mergeCell ref="U20:W20"/>
    <mergeCell ref="S19:T19"/>
    <mergeCell ref="S20:T20"/>
    <mergeCell ref="B40:K40"/>
    <mergeCell ref="B26:L26"/>
    <mergeCell ref="N26:W26"/>
    <mergeCell ref="B27:AA27"/>
    <mergeCell ref="B28:M28"/>
    <mergeCell ref="N28:W28"/>
    <mergeCell ref="U32:AA32"/>
    <mergeCell ref="B36:Q36"/>
    <mergeCell ref="B37:K37"/>
    <mergeCell ref="S37:Y37"/>
    <mergeCell ref="P37:Q37"/>
    <mergeCell ref="B39:K39"/>
    <mergeCell ref="R43:S43"/>
    <mergeCell ref="T43:U43"/>
    <mergeCell ref="B59:H59"/>
    <mergeCell ref="C60:P60"/>
    <mergeCell ref="I59:S59"/>
    <mergeCell ref="T42:U42"/>
    <mergeCell ref="H57:N57"/>
    <mergeCell ref="M51:O51"/>
    <mergeCell ref="J52:L52"/>
    <mergeCell ref="H51:I51"/>
    <mergeCell ref="T51:T52"/>
    <mergeCell ref="J51:L51"/>
    <mergeCell ref="M52:O52"/>
    <mergeCell ref="N43:O44"/>
    <mergeCell ref="U58:W58"/>
    <mergeCell ref="N41:AA41"/>
    <mergeCell ref="X44:Y44"/>
    <mergeCell ref="N42:O42"/>
    <mergeCell ref="B43:K44"/>
    <mergeCell ref="Y58:AA58"/>
    <mergeCell ref="O58:Q58"/>
    <mergeCell ref="H58:N58"/>
    <mergeCell ref="U54:W54"/>
    <mergeCell ref="B62:T62"/>
    <mergeCell ref="W60:Y60"/>
    <mergeCell ref="W61:Y61"/>
    <mergeCell ref="B61:U61"/>
    <mergeCell ref="T44:U44"/>
    <mergeCell ref="P51:R51"/>
    <mergeCell ref="C50:I50"/>
    <mergeCell ref="W62:Y64"/>
    <mergeCell ref="U63:V64"/>
    <mergeCell ref="U59:W59"/>
    <mergeCell ref="B47:K47"/>
    <mergeCell ref="V47:Z47"/>
    <mergeCell ref="T45:U45"/>
    <mergeCell ref="N46:U46"/>
    <mergeCell ref="P44:Q44"/>
    <mergeCell ref="Z45:AA45"/>
    <mergeCell ref="P52:R52"/>
    <mergeCell ref="J50:L50"/>
    <mergeCell ref="H52:I52"/>
    <mergeCell ref="B48:AA48"/>
    <mergeCell ref="U57:W57"/>
    <mergeCell ref="U56:W56"/>
    <mergeCell ref="V46:Y46"/>
    <mergeCell ref="B46:K46"/>
    <mergeCell ref="Y49:AA50"/>
    <mergeCell ref="N45:S45"/>
    <mergeCell ref="B63:B69"/>
    <mergeCell ref="C64:F64"/>
    <mergeCell ref="Y68:AA68"/>
    <mergeCell ref="U65:W65"/>
    <mergeCell ref="X65:X69"/>
    <mergeCell ref="C65:P65"/>
    <mergeCell ref="C69:P69"/>
    <mergeCell ref="Y65:AA65"/>
    <mergeCell ref="C68:P68"/>
    <mergeCell ref="Q69:T69"/>
    <mergeCell ref="U69:W69"/>
    <mergeCell ref="Q66:T67"/>
    <mergeCell ref="C67:H67"/>
    <mergeCell ref="Q68:T68"/>
    <mergeCell ref="Y66:AA66"/>
    <mergeCell ref="Y67:AA67"/>
    <mergeCell ref="Q65:T65"/>
    <mergeCell ref="H64:P64"/>
    <mergeCell ref="Q63:T64"/>
    <mergeCell ref="N78:P78"/>
    <mergeCell ref="Z70:AA70"/>
    <mergeCell ref="M75:N75"/>
    <mergeCell ref="B77:S77"/>
    <mergeCell ref="Q78:T78"/>
    <mergeCell ref="U73:W73"/>
    <mergeCell ref="Y74:AA75"/>
    <mergeCell ref="X73:X76"/>
    <mergeCell ref="U77:W77"/>
    <mergeCell ref="W70:Y70"/>
    <mergeCell ref="C75:H75"/>
    <mergeCell ref="Y76:AA76"/>
    <mergeCell ref="U72:W72"/>
    <mergeCell ref="Q73:T73"/>
    <mergeCell ref="B71:B76"/>
    <mergeCell ref="Y71:AA71"/>
    <mergeCell ref="C71:T71"/>
    <mergeCell ref="Y72:AA72"/>
    <mergeCell ref="O74:P74"/>
    <mergeCell ref="K74:L75"/>
    <mergeCell ref="U66:W66"/>
    <mergeCell ref="U67:W67"/>
    <mergeCell ref="Y69:AA69"/>
    <mergeCell ref="Q112:AA112"/>
    <mergeCell ref="M119:P119"/>
    <mergeCell ref="B115:AA115"/>
    <mergeCell ref="N127:Q127"/>
    <mergeCell ref="B116:AA116"/>
    <mergeCell ref="C4:D4"/>
    <mergeCell ref="C5:D5"/>
    <mergeCell ref="F10:J10"/>
    <mergeCell ref="L10:N10"/>
    <mergeCell ref="U68:W68"/>
    <mergeCell ref="J67:P67"/>
    <mergeCell ref="B70:T70"/>
    <mergeCell ref="X78:X79"/>
    <mergeCell ref="Y78:AA78"/>
    <mergeCell ref="U78:W78"/>
    <mergeCell ref="U79:W79"/>
    <mergeCell ref="Y79:AA79"/>
    <mergeCell ref="U71:W71"/>
    <mergeCell ref="U74:W75"/>
    <mergeCell ref="O75:P75"/>
    <mergeCell ref="U76:W76"/>
    <mergeCell ref="U16:Z16"/>
    <mergeCell ref="S21:T21"/>
    <mergeCell ref="B9:AA9"/>
    <mergeCell ref="U23:W23"/>
    <mergeCell ref="U18:W18"/>
    <mergeCell ref="B14:E14"/>
    <mergeCell ref="B10:E10"/>
    <mergeCell ref="U19:W19"/>
    <mergeCell ref="B12:E12"/>
    <mergeCell ref="F12:N12"/>
    <mergeCell ref="F21:L21"/>
    <mergeCell ref="M19:R19"/>
    <mergeCell ref="A3:A7"/>
    <mergeCell ref="A9:A32"/>
    <mergeCell ref="B35:I35"/>
    <mergeCell ref="B34:AA34"/>
    <mergeCell ref="L35:Q35"/>
    <mergeCell ref="B18:E18"/>
    <mergeCell ref="F18:L18"/>
    <mergeCell ref="M16:R17"/>
    <mergeCell ref="F16:L17"/>
    <mergeCell ref="B16:E16"/>
    <mergeCell ref="M18:R18"/>
    <mergeCell ref="U17:W17"/>
    <mergeCell ref="X17:Z17"/>
    <mergeCell ref="M24:R24"/>
    <mergeCell ref="F19:L19"/>
    <mergeCell ref="F20:L20"/>
    <mergeCell ref="M21:R21"/>
    <mergeCell ref="U21:W21"/>
    <mergeCell ref="S16:T17"/>
    <mergeCell ref="U31:AA31"/>
    <mergeCell ref="S18:T18"/>
    <mergeCell ref="B7:AA7"/>
    <mergeCell ref="U24:W24"/>
    <mergeCell ref="M22:R22"/>
    <mergeCell ref="N193:R193"/>
    <mergeCell ref="E169:H169"/>
    <mergeCell ref="U168:W168"/>
    <mergeCell ref="O171:Q171"/>
    <mergeCell ref="L169:N169"/>
    <mergeCell ref="I169:K169"/>
    <mergeCell ref="O169:Q169"/>
    <mergeCell ref="X169:Z169"/>
    <mergeCell ref="L170:N170"/>
    <mergeCell ref="L168:N168"/>
    <mergeCell ref="E175:Z175"/>
    <mergeCell ref="X170:Z170"/>
    <mergeCell ref="B181:Y181"/>
    <mergeCell ref="Q183:Y183"/>
    <mergeCell ref="Q184:Y184"/>
    <mergeCell ref="J179:O179"/>
    <mergeCell ref="U169:W169"/>
    <mergeCell ref="R171:T171"/>
    <mergeCell ref="I170:K170"/>
    <mergeCell ref="R170:T170"/>
    <mergeCell ref="B168:C168"/>
    <mergeCell ref="N191:R191"/>
    <mergeCell ref="E192:Z192"/>
    <mergeCell ref="O170:Q170"/>
    <mergeCell ref="Q106:T106"/>
    <mergeCell ref="B96:G96"/>
    <mergeCell ref="H101:J101"/>
    <mergeCell ref="B104:AA104"/>
    <mergeCell ref="V107:AA107"/>
    <mergeCell ref="G100:AA100"/>
    <mergeCell ref="B84:AA84"/>
    <mergeCell ref="B87:AA87"/>
    <mergeCell ref="Q80:S80"/>
    <mergeCell ref="B86:AA86"/>
    <mergeCell ref="H107:L107"/>
    <mergeCell ref="M107:R107"/>
    <mergeCell ref="B83:AA83"/>
    <mergeCell ref="U30:AA30"/>
    <mergeCell ref="Q79:S79"/>
    <mergeCell ref="C80:K80"/>
    <mergeCell ref="N79:P79"/>
    <mergeCell ref="U80:W81"/>
    <mergeCell ref="R123:U123"/>
    <mergeCell ref="G125:M125"/>
    <mergeCell ref="Q108:T108"/>
    <mergeCell ref="H102:J102"/>
    <mergeCell ref="B101:G101"/>
    <mergeCell ref="T80:T81"/>
    <mergeCell ref="H120:S120"/>
    <mergeCell ref="H108:L108"/>
    <mergeCell ref="M112:P112"/>
    <mergeCell ref="B117:AA117"/>
    <mergeCell ref="H121:AA121"/>
    <mergeCell ref="Q119:S119"/>
    <mergeCell ref="N123:Q123"/>
    <mergeCell ref="K79:M79"/>
    <mergeCell ref="U108:Z108"/>
    <mergeCell ref="M108:P108"/>
    <mergeCell ref="T120:W120"/>
    <mergeCell ref="B110:R110"/>
    <mergeCell ref="X80:X81"/>
  </mergeCells>
  <phoneticPr fontId="0" type="noConversion"/>
  <conditionalFormatting sqref="B227">
    <cfRule type="expression" dxfId="178" priority="231" stopIfTrue="1">
      <formula>G229=2</formula>
    </cfRule>
  </conditionalFormatting>
  <conditionalFormatting sqref="B246">
    <cfRule type="expression" dxfId="177" priority="232" stopIfTrue="1">
      <formula>G249=2</formula>
    </cfRule>
  </conditionalFormatting>
  <conditionalFormatting sqref="B240">
    <cfRule type="expression" dxfId="176" priority="233" stopIfTrue="1">
      <formula>G244=2</formula>
    </cfRule>
  </conditionalFormatting>
  <conditionalFormatting sqref="K151">
    <cfRule type="expression" dxfId="175" priority="295" stopIfTrue="1">
      <formula>NOT(ISBLANK(L151))</formula>
    </cfRule>
    <cfRule type="expression" dxfId="174" priority="296" stopIfTrue="1">
      <formula>K151="x"</formula>
    </cfRule>
  </conditionalFormatting>
  <conditionalFormatting sqref="B98">
    <cfRule type="expression" dxfId="173" priority="418" stopIfTrue="1">
      <formula>F99=2</formula>
    </cfRule>
  </conditionalFormatting>
  <conditionalFormatting sqref="T45:U45">
    <cfRule type="cellIs" dxfId="172" priority="229" stopIfTrue="1" operator="equal">
      <formula>0</formula>
    </cfRule>
  </conditionalFormatting>
  <conditionalFormatting sqref="B251">
    <cfRule type="expression" dxfId="171" priority="878" stopIfTrue="1">
      <formula>G254=2</formula>
    </cfRule>
  </conditionalFormatting>
  <conditionalFormatting sqref="E161">
    <cfRule type="expression" dxfId="170" priority="23" stopIfTrue="1">
      <formula>NOT(ISBLANK(L151))</formula>
    </cfRule>
  </conditionalFormatting>
  <conditionalFormatting sqref="F162:F163">
    <cfRule type="expression" dxfId="169" priority="22" stopIfTrue="1">
      <formula>NOT(ISBLANK($L$151))</formula>
    </cfRule>
  </conditionalFormatting>
  <conditionalFormatting sqref="B233">
    <cfRule type="expression" dxfId="168" priority="10" stopIfTrue="1">
      <formula>G237=2</formula>
    </cfRule>
  </conditionalFormatting>
  <conditionalFormatting sqref="B228">
    <cfRule type="expression" dxfId="167" priority="1125" stopIfTrue="1">
      <formula>K231=2</formula>
    </cfRule>
  </conditionalFormatting>
  <conditionalFormatting sqref="G139">
    <cfRule type="expression" dxfId="166" priority="4">
      <formula>OR(NOT(ISBLANK(U65)),NOT(ISBLANK(Y65)),NOT(ISBLANK(H140)),NOT(ISBLANK(H141)))</formula>
    </cfRule>
  </conditionalFormatting>
  <conditionalFormatting sqref="N26:W26">
    <cfRule type="expression" dxfId="165" priority="3" stopIfTrue="1">
      <formula>NOT(ISBLANK(N26))</formula>
    </cfRule>
  </conditionalFormatting>
  <conditionalFormatting sqref="N28:W29">
    <cfRule type="expression" dxfId="164" priority="2" stopIfTrue="1">
      <formula>NOT(ISBLANK(N28))</formula>
    </cfRule>
  </conditionalFormatting>
  <conditionalFormatting sqref="B47:K47">
    <cfRule type="expression" dxfId="163" priority="1" stopIfTrue="1">
      <formula>NOT(ISBLANK($N$28))</formula>
    </cfRule>
  </conditionalFormatting>
  <dataValidations xWindow="283" yWindow="557" count="127">
    <dataValidation type="custom" allowBlank="1" showInputMessage="1" showErrorMessage="1" errorTitle="More Than 1 Box Checked" error="Can only insert one custody paragraph." promptTitle="Custody" prompt="Check custody status." sqref="G250" xr:uid="{D128D74E-0A9D-4C39-87E1-EED2AB234C53}">
      <formula1>G263=1</formula1>
    </dataValidation>
    <dataValidation type="custom" allowBlank="1" showInputMessage="1" showErrorMessage="1" errorTitle="More Than 1 Box Checked" error="Can only insert one custody paragraph." promptTitle="Custody With 3rd Party:" prompt="Check (x) this box if child lives with a non-parent caretaker." sqref="G251" xr:uid="{CCE44DCE-6A67-4EC0-BBAC-922269B82A04}">
      <formula1>OR(G254=0,G254=1)</formula1>
    </dataValidation>
    <dataValidation type="custom" allowBlank="1" showInputMessage="1" showErrorMessage="1" errorTitle="More Than 1 Box Checked" error="Can only insert one custody paragraph." promptTitle="Sole Legal Decision-Making:" prompt="Check (x) to award sole legal decision-making to Obligee pursuant to a written Parenting Plan that will be attached." sqref="G252" xr:uid="{1203ED08-2262-4E4A-BCE3-E9E8B5857994}">
      <formula1>OR(G254=0,G254=1)</formula1>
    </dataValidation>
    <dataValidation type="custom" allowBlank="1" showInputMessage="1" showErrorMessage="1" errorTitle="More Than 1 Box Checked" error="Can only insert one custody paragraph." promptTitle="Joint Legal Decision-Making" prompt="Check (x) this box to award joint legal decision-making to both parent pursuant to a written Parenting Plan that will be attached." sqref="G253" xr:uid="{462FEA3C-D77E-44F4-8578-2DA131280572}">
      <formula1>OR(G254=0,G254=1)</formula1>
    </dataValidation>
    <dataValidation type="custom" allowBlank="1" showInputMessage="1" showErrorMessage="1" errorTitle="More Than 1 Box Checked" error="Can only insert one method of paternity establishment." promptTitle="Paternity By Court Order:" prompt="Check (x) if established previously by court order." sqref="G241 G234" xr:uid="{C62F55EE-E225-4E55-9CBD-7EE010E59002}">
      <formula1>OR(G237=0,G237=1)</formula1>
    </dataValidation>
    <dataValidation type="custom" allowBlank="1" showInputMessage="1" showErrorMessage="1" errorTitle="More Than 1 Box Checked" error="Can only insert one method of paternity establishment." promptTitle="Acknowledgment Filed With Clerk:" prompt="Check (x) if previously established by the filing of a voluntary acknowledgment with the Clerk of the Court." sqref="G242 G235" xr:uid="{CDD3D28B-8AAF-40F0-A381-A147B62362FC}">
      <formula1>OR(G237=0,G237=1)</formula1>
    </dataValidation>
    <dataValidation type="custom" allowBlank="1" showInputMessage="1" showErrorMessage="1" errorTitle="More Than 1 Box Checked" error="Deviation must be either by agreement of parties or by the court but not both." sqref="G97" xr:uid="{A320E514-9B2F-46B5-BB2B-120A1D93190B}">
      <formula1>AND(NOT(ISBLANK(G97)),ISBLANK(G98))</formula1>
    </dataValidation>
    <dataValidation type="custom" allowBlank="1" showInputMessage="1" showErrorMessage="1" errorTitle="More Than 1 Box Checked" error="Can only insert one presumptive father paragraph." promptTitle="Presumptive Parent Waive Rights:" prompt="Check (x) if presumptive parent will sign Order of Non-paternity and waive all rights to child." sqref="G248" xr:uid="{7C2D0CAF-8C40-4F26-AB31-043AC0CE3918}">
      <formula1>OR(G249=0,G249=1)</formula1>
    </dataValidation>
    <dataValidation type="custom" allowBlank="1" showInputMessage="1" showErrorMessage="1" errorTitle="More Than 1 Box Checked" error="Can only insert one presumptive father paragraph." promptTitle="Presumptive Parent Not Parent:" prompt="Check (x) this box if presumptive parent is shown not to be the natural parent by the evidence." sqref="G247" xr:uid="{203CC58C-96CF-4ECF-AD85-966F26C2325C}">
      <formula1>OR(G249=0,G249=1)</formula1>
    </dataValidation>
    <dataValidation type="custom" allowBlank="1" showInputMessage="1" showErrorMessage="1" errorTitle="More Than 1 Box Checked" error="Can only insert one method of paternity establishment." promptTitle="Acknowledgment Filed With DES:" prompt="Check (x) if previously established by the filing of a voluntary acknowledgment with DES." sqref="G243 G236" xr:uid="{4939201A-7614-4F43-921D-EA2F00CD1E33}">
      <formula1>OR(G237=0,G237=1)</formula1>
    </dataValidation>
    <dataValidation type="custom" allowBlank="1" showInputMessage="1" showErrorMessage="1" errorTitle="More Than 1 Box Checked" error="Can only insert one type of hearing." promptTitle="Evidentiary Hearing:" prompt="Check (x) this box if evidence taken at an evidentiary hearing in support of this Paternity Judgment." sqref="G227" xr:uid="{CA3EFCD7-6D37-4F4A-A53A-9EE5DC506728}">
      <formula1>OR(G229=0,G229=1)</formula1>
    </dataValidation>
    <dataValidation type="list" allowBlank="1" showInputMessage="1" showErrorMessage="1" errorTitle="Stipulation" error="You must type x to &quot;check&quot; a box." promptTitle="Stipulation" prompt="Check (x) this box to add signature lines to order for both parents if they agree and will sign." sqref="E177" xr:uid="{5F741BF3-46FE-4B0F-9584-726D4BB0740E}">
      <formula1>INDIRECT("TblCheckbox")</formula1>
    </dataValidation>
    <dataValidation type="custom" allowBlank="1" showInputMessage="1" showErrorMessage="1" errorTitle="More Than 1 Box Checked" error="Can only insert one type of hearing." promptTitle="A.R.S. §25-502(J):" prompt="Check (x) this box if findings will be made pursuant to A.R.S. §25-502(J) without a request for hearing." sqref="G228" xr:uid="{281BBD51-CAC6-46F6-9364-C73039A29102}">
      <formula1>OR(G229=0,G229=1)</formula1>
    </dataValidation>
    <dataValidation type="list" allowBlank="1" showInputMessage="1" showErrorMessage="1" errorTitle="Medical Insurance" error="Please check only Parent A or Parent B to be responsbile." promptTitle="Parent B to Provide Insurance:" prompt="Check (x) this box if neither parent has insurance but only Parent B to be responsible to provide it in the future." sqref="H141" xr:uid="{B880D32F-0953-4BAF-B6DA-BE2B1EA34622}">
      <formula1>INDIRECT("TblCheckbox")</formula1>
    </dataValidation>
    <dataValidation type="list" allowBlank="1" showInputMessage="1" showErrorMessage="1" errorTitle="Medical Insurance" error="Please check only Parent A or Parent B to be responsible." promptTitle="Parent A to Provide Insurance" prompt="Check (x) this box if neither parent has insurance but only Parent A to be responsible to provide it in the future." sqref="H140" xr:uid="{8BBE4080-DCC5-421C-89B1-1BE54EBFA5C7}">
      <formula1>INDIRECT("TblCheckbox")</formula1>
    </dataValidation>
    <dataValidation type="custom" allowBlank="1" showInputMessage="1" showErrorMessage="1" errorTitle="More Than 1 Box Checked" error="Can only insert one type of order." promptTitle="Amended IWO:" prompt="Check (x) this box if Amended IWO desired." sqref="G268" xr:uid="{90EB96AF-7654-4F0A-9F65-267524B12118}">
      <formula1>OR(G271=0,G271=1)</formula1>
    </dataValidation>
    <dataValidation type="custom" allowBlank="1" showInputMessage="1" showErrorMessage="1" errorTitle="More Than 1 Box Checked" error="Can only insert one type of order." promptTitle="Lump Sum Payment:" prompt="Check (x) this box if one-time Lump Sum Payment Order desired" sqref="G269" xr:uid="{E5C44FC3-1A92-4B9B-AB91-637C06FF2CB8}">
      <formula1>OR(G271=0,G271=1)</formula1>
    </dataValidation>
    <dataValidation type="custom" allowBlank="1" showInputMessage="1" showErrorMessage="1" errorTitle="More Than 1 Box Checked" error="Can only insert one custody paragraph." promptTitle="Termination IWO:" prompt="Check (x) this box if Termination of prior IWO desired." sqref="G270" xr:uid="{BE7545F2-1FB5-43A0-8761-669D2F360DC2}">
      <formula1>OR(G271=0,G271=1)</formula1>
    </dataValidation>
    <dataValidation type="custom" allowBlank="1" showInputMessage="1" showErrorMessage="1" errorTitle="More Than 1 Box Checked" error="Can only insert one custody paragraph." promptTitle="Issuer of IWO:" prompt="Make no entry if Court is issuing IWO." sqref="G272" xr:uid="{34098048-F041-45DE-B5E4-AE8DA6F925DD}">
      <formula1>G312=1</formula1>
    </dataValidation>
    <dataValidation type="custom" allowBlank="1" showInputMessage="1" showErrorMessage="1" errorTitle="More Than 1 Box Checked" error="Can only insert one custody paragraph." promptTitle="Original IWO:" prompt="Make no entry if Original IWO desired." sqref="G267" xr:uid="{BBBC6DB7-8426-49F4-816F-655F1EE23843}">
      <formula1>G296=1</formula1>
    </dataValidation>
    <dataValidation type="custom" allowBlank="1" showInputMessage="1" showErrorMessage="1" errorTitle="More Than 1 Box Checked" error="Can only insert one issuer." promptTitle="Child Support Enforcement Agency" prompt="Check (x) this box if IWO issued by CSE." sqref="G273" xr:uid="{2C14470D-B776-4339-B586-996A7BA0C396}">
      <formula1>OR(G276=0,G276=1)</formula1>
    </dataValidation>
    <dataValidation type="custom" allowBlank="1" showInputMessage="1" showErrorMessage="1" errorTitle="More Than 1 Box Checked" error="Can only insert one issuer." promptTitle="Attorney:" prompt="Check (x) this box if attorney is issuing IWO." sqref="G274" xr:uid="{E168C339-076C-4A37-B121-E74024AA6D8E}">
      <formula1>OR(G276=0,G276=1)</formula1>
    </dataValidation>
    <dataValidation type="custom" allowBlank="1" showInputMessage="1" showErrorMessage="1" errorTitle="More Than 1 Box Checked" error="Can only insert one issuer." promptTitle="Private Individual/Entity:" prompt="Check (x) this box if Private Individual/Entity is issuing IWO." sqref="G275" xr:uid="{09D361D6-92EF-44B9-985C-8E0035333296}">
      <formula1>OR(G276=0,G276=1)</formula1>
    </dataValidation>
    <dataValidation allowBlank="1" showInputMessage="1" showErrorMessage="1" promptTitle="Alternate Start Date:" prompt="Enter alternate start date for Cash Medical Support Order to commence.  All dates entered will require payments to start on 1st day of month in month and year entered regardless of day of month entered." sqref="T260:Z260" xr:uid="{B9482BD0-8B2F-4C3D-939B-F0FFDBAAFB82}"/>
    <dataValidation allowBlank="1" showInputMessage="1" showErrorMessage="1" promptTitle="Atlas Number:" prompt="Enter Atlas Number." sqref="I293:Q293" xr:uid="{1DF1C862-A529-46B9-9FA7-0B93C12CAC8B}"/>
    <dataValidation type="custom" allowBlank="1" showInputMessage="1" showErrorMessage="1" errorTitle="Invalid Social Security No." error="Social Security Number must be 9 digits and meet SSN validation requirements (i.e., no zero groups or 666/9xx series numbers)." promptTitle="Social Security No.:" prompt="Insert Social Security Number WITHOUT dashes--the computer will format the dashes.  If dashes are entered, the SSN will not appear on the Order of Assignment." sqref="I285:Q285" xr:uid="{5A9DB518-08FD-41FB-8E7B-99BCC7604CF0}">
      <formula1>AND(ISNUMBER(I285),LEN(I285)&lt;10,LEFT(I285,1)&lt;&gt;"9",LEFT(TEXT(I285,"000000000"),3)&lt;&gt;"000",LEFT(TEXT(I285,"000000000"),3)&lt;&gt;"666",MID(TEXT(I285,"000000000"),4,2)&lt;&gt;"00",MID(TEXT(I285,"000000000"),6,4)&lt;&gt;"0000")</formula1>
    </dataValidation>
    <dataValidation allowBlank="1" showInputMessage="1" showErrorMessage="1" promptTitle="Alternative PTD Month:" prompt="Input Month &amp; Day ONLY of alternate Presumptive Termination Date here with format of &quot;mm-d&quot; or &quot;mm/d&quot;.  Also will need to put year in next box." sqref="J296:N297" xr:uid="{574BDE56-2AB7-461D-89EA-13C87A637D57}"/>
    <dataValidation allowBlank="1" showInputMessage="1" showErrorMessage="1" promptTitle="Alternate PTD Year:" prompt="Input 4-digit year (&quot;20YY&quot;) of alternate Presumptive Termination Date here." sqref="O296:P297" xr:uid="{23D27038-E9B4-458D-AA01-717DE4B5F029}"/>
    <dataValidation allowBlank="1" showInputMessage="1" showErrorMessage="1" promptTitle="Payment Start Date:" prompt="Enter the date (#-#-##) or (#/#/##) that all monthly payments will start unless above date is correct." sqref="N136:R136" xr:uid="{C80782CD-0868-4530-B4B9-295D5DA612CB}"/>
    <dataValidation allowBlank="1" showInputMessage="1" showErrorMessage="1" promptTitle="Presumptive Parent's Name:" prompt="List the name of any presumptive parent that was married to the mother within 10 months before birth or 10 months after marriage terminated.  A.R.S. §25-814." sqref="J245:R245" xr:uid="{C2195FCE-D8B5-4BDE-92DC-06FD3FA46186}"/>
    <dataValidation allowBlank="1" showInputMessage="1" showErrorMessage="1" promptTitle="Natural Father's Date of Birth:" prompt="List Natural Father's date of birth here." sqref="U238:Z238" xr:uid="{88E8A175-29F8-4540-BE87-64EFA2F22439}"/>
    <dataValidation allowBlank="1" showInputMessage="1" showErrorMessage="1" promptTitle="Mother's Date of Birth:" prompt="List Mother's date of birth here." sqref="U231:Z231" xr:uid="{279732F0-0FE3-4145-97E4-368760590D9F}"/>
    <dataValidation type="list" allowBlank="1" showInputMessage="1" showErrorMessage="1" promptTitle="Type of Judgment" prompt="If Establishment Judgment (Post-Paternity) desired check this box.  " sqref="G224" xr:uid="{6655F470-4B62-462B-84C8-FE23FC75361B}">
      <formula1>INDIRECT("TblCheckbox")</formula1>
    </dataValidation>
    <dataValidation allowBlank="1" showInputMessage="1" showErrorMessage="1" promptTitle="Paternity" prompt="Check how paternity will be or was established." sqref="G240 G233" xr:uid="{FBB00DC3-3359-4C0A-99F8-9435FEF59980}"/>
    <dataValidation allowBlank="1" showInputMessage="1" showErrorMessage="1" promptTitle="Presumptive Father" prompt="Check status of presumptive father." sqref="G246" xr:uid="{B4307E77-D30E-43F0-8C44-D65BA485DAAF}"/>
    <dataValidation allowBlank="1" showInputMessage="1" showErrorMessage="1" promptTitle="Additional Findings &amp; Orders" prompt="Type any additional findings or orders here.  For clarity preface narrative with &quot;The Court Further Finds&quot; or &quot;It Is Further Ordered&quot;." sqref="E176:Z176" xr:uid="{00594DAA-719B-42AC-9B8F-918035916941}"/>
    <dataValidation type="list" allowBlank="1" showInputMessage="1" showErrorMessage="1" errorTitle="Attorneys will sign Stipulation" error="You must type x to &quot;check&quot; a box." promptTitle="Attorneys Signatures:" prompt="Check (x) this box if either party is represented by an attorney and stipulation is reached requiring attorneys' signatures." sqref="I177" xr:uid="{A78C58FB-0390-4170-9812-10F652600B6A}">
      <formula1>INDIRECT("TblCheckbox")</formula1>
    </dataValidation>
    <dataValidation allowBlank="1" showInputMessage="1" showErrorMessage="1" promptTitle="Customized Tax Table" prompt="If &quot;Customize Tax Deduction Table&quot; box is checked insert parent to claim each deduction as desired.  Standard grid above indicates available deductions through a child's 18th year.  Be careful not to insert deduction where none is available." sqref="L166:Z171" xr:uid="{F21C7412-5F51-4EA2-B09D-E2AE4DECDC92}"/>
    <dataValidation type="list" allowBlank="1" showInputMessage="1" showErrorMessage="1" promptTitle="Customized Tax Deductions:" prompt="Check this box only if you want to customize tax deduction table.  If any child's age, and not date of birth, is listed, you are required to customize the tax table." sqref="L151" xr:uid="{FF126465-0EB5-4F26-845F-E1951BF9ECF9}">
      <formula1>INDIRECT("TblCheckbox")</formula1>
    </dataValidation>
    <dataValidation type="list" allowBlank="1" showInputMessage="1" showErrorMessage="1" promptTitle="Cash Medical Support Order:" prompt="Check (x) here to require noncustodian to pay a cash medical support amount if the child is not covered under an insurance plan within 90 days per A.R.S. § 25-320(L)." sqref="G257" xr:uid="{FDB01F42-C249-4974-B5C3-6E1A12C311C6}">
      <formula1>INDIRECT("TblCheckbox")</formula1>
    </dataValidation>
    <dataValidation type="list" allowBlank="1" showInputMessage="1" showErrorMessage="1" promptTitle="Alternate Medical Support Start:" prompt="Check (x) if desire to enter alternate start date for cash medical supoprt order." sqref="H260" xr:uid="{57612DE9-9875-4BE3-B534-14F256215F71}">
      <formula1>INDIRECT("TblCheckbox")</formula1>
    </dataValidation>
    <dataValidation allowBlank="1" showInputMessage="1" showErrorMessage="1" promptTitle="Default Start Date:" prompt="If no date is entered below, default start date will be 1st day of month following this Order." sqref="N135:R135" xr:uid="{0688481D-21ED-49F6-98B5-09A8C71BA0FB}"/>
    <dataValidation allowBlank="1" showInputMessage="1" showErrorMessage="1" promptTitle="Uninsured Medical Expenses:" prompt="Enter a different percentage if you desire to change the guideline percentage shown.  Other Parent's percentage will adjust automatically." sqref="G143:H143" xr:uid="{5BCF69F7-F935-4B9E-B67A-66A4DA71A63C}"/>
    <dataValidation allowBlank="1" showInputMessage="1" showErrorMessage="1" promptTitle="Transportation Costs:" prompt="Enter a different percentage if you desire to change the guideline percentage shown.  Other Parent's percentage will adjust automatically." sqref="G145:H145" xr:uid="{1546D495-46A2-4C70-BAEC-B6A38C9E836C}"/>
    <dataValidation allowBlank="1" showInputMessage="1" showErrorMessage="1" promptTitle="Additional Findings &amp; Orders:" prompt="Enter any additional findings or orders here.  For clarity preface narrative with &quot;The Court Further Finds&quot; or &quot;It Is Further Ordered&quot;." sqref="E175:Z175" xr:uid="{2F121064-E947-45F6-8BF8-5DA84EBAA7C2}"/>
    <dataValidation allowBlank="1" showInputMessage="1" showErrorMessage="1" promptTitle="Alternate Date:" prompt="Enter a date the Order will be signed ONLY if it will not be signed today." sqref="J179 K179:O180 K183:O184" xr:uid="{B7DE3601-36D5-4F4E-A4AB-BB52107F2CE3}"/>
    <dataValidation allowBlank="1" showInputMessage="1" showErrorMessage="1" promptTitle="Cash Medical Support Amount:" prompt="Enter amount of monthly cash medical support order." sqref="H258:K258" xr:uid="{B8DB2C3D-F435-42F9-BCE9-66A89267DA18}"/>
    <dataValidation type="list" allowBlank="1" showInputMessage="1" showErrorMessage="1" promptTitle="Conditions of Tax Deduction" prompt="Check (x) here if non-custodian is allowed to take tax deductions regardless if arrearages exist." sqref="K149" xr:uid="{B17A30DD-D0C5-466B-8B58-C0C22D2BAC45}">
      <formula1>INDIRECT("TblCheckbox")</formula1>
    </dataValidation>
    <dataValidation allowBlank="1" showInputMessage="1" showErrorMessage="1" promptTitle="Conditions of Tax Deduction" prompt="Allow this box to reamain checked (x) if Order should allow the non-custodian to take the tax deductions only if all support payments and court-ordered arrearage payments have been made by December 31." sqref="K148" xr:uid="{D9E47171-6E00-44F5-9ED0-7AF8E7E27C5B}"/>
    <dataValidation allowBlank="1" showInputMessage="1" showErrorMessage="1" promptTitle="Obligor's Name For IWO:" prompt="Reformat the Obligor's name for entry into the Federal IWO approved format: (Last, First, Middle)." sqref="I284:Q284 I290:Q290" xr:uid="{6A1CDCC6-219A-4FB4-994A-D33CD1EA2C24}"/>
    <dataValidation type="custom" errorStyle="warning" allowBlank="1" showInputMessage="1" showErrorMessage="1" errorTitle="Past-Due Cash Medical Support" error="You may wish to enter a Judgment for Past-Due Cash Medical Support in the &quot;Other Findings &amp; Orders&quot; paragraph above before entering a monthly payment?" promptTitle="Past-Due Cash Medical Support:" prompt="Enter a monthly amount payable towards any past-due cash medical support.  If you use this box, you may wish to reduce the past-due amount to a judgment using the &quot;Other Findings &amp; Orders&quot; paragraph above." sqref="S262:U262" xr:uid="{4F565E07-8E20-4C17-860D-9DBA67148C9F}">
      <formula1>ISBLANK(S262)</formula1>
    </dataValidation>
    <dataValidation type="list" allowBlank="1" showInputMessage="1" showErrorMessage="1" promptTitle="Work State or Tribe Different:" prompt="Check (x) this box only if the employee/obligor works in a State or for a Tribe that is different from the State or Tribe that issued this order." sqref="M287" xr:uid="{50D188BA-CF52-4F57-8A8D-98CB4F35D3A8}">
      <formula1>INDIRECT("TblCheckbox")</formula1>
    </dataValidation>
    <dataValidation allowBlank="1" showInputMessage="1" showErrorMessage="1" promptTitle="Additional Information:" prompt="Add any additional information needed for page 3 of the IWO here.  Text should not exceed space in box or it may not print." sqref="I307:Z307" xr:uid="{CE56B490-B05F-4D74-9307-58B60DF11C53}"/>
    <dataValidation allowBlank="1" showInputMessage="1" showErrorMessage="1" promptTitle="Liability:" prompt="Enter any additional language needed under &quot;Liability&quot; paragraph  under page 2 of the IWO.  Text should not exceed space in box or it may not print." sqref="I303:Z303" xr:uid="{0D1979FF-5FE2-4286-803B-EFBD00A47642}"/>
    <dataValidation allowBlank="1" showInputMessage="1" showErrorMessage="1" promptTitle="Anti-discrimination:" prompt="Enter any additional language needed for the &quot;Anti-discrimination&quot; paragraph on page 2 of the IWO.  Text should not exceed space in box or it may not print." sqref="I305:Z305" xr:uid="{CD0B9001-53EA-4E38-9F49-2651972EAA68}"/>
    <dataValidation type="decimal" allowBlank="1" showInputMessage="1" showErrorMessage="1" errorTitle="Parenting Time Adjustment" error="Parenting Time Adjustment Percentage Must Be Between 0 and 48.6%." promptTitle="Parenting Time Alternative:" prompt="Enter Parenting Time percentage here ONLY if noncustodian will not incur costs during parenting time and a reduced percentage is desired._x000a__x000a_This field does not apply when there is equal parenting time." sqref="O74:P74" xr:uid="{A0FABA47-B2EA-4BAA-864D-D4491DD57E8C}">
      <formula1>0</formula1>
      <formula2>0.486</formula2>
    </dataValidation>
    <dataValidation type="list" allowBlank="1" showInputMessage="1" showErrorMessage="1" promptTitle="Past Support Prior To Filing:" prompt="Check (x) this box if you wish to enter the Past Support Judgment for up to three years before the filing of the current petition when the parties lived apart pursuant to A.R.S. §25-320(C) or §25-809(B)." sqref="H114" xr:uid="{6F859CCD-094E-4157-A5AB-51DAB6A02B22}">
      <formula1>INDIRECT("TblCheckbox")</formula1>
    </dataValidation>
    <dataValidation allowBlank="1" showInputMessage="1" showErrorMessage="1" promptTitle="Past Support Amount:" prompt="Enter total amount of Past Support Judgment here.  Additional findings or explanation can be entered in &quot;Other Findings &amp; Orders&quot; box at end of this section if desired." sqref="M112:P112" xr:uid="{0C09C04D-F8E6-4B40-A109-2A587BC3B244}"/>
    <dataValidation type="list" allowBlank="1" showInputMessage="1" showErrorMessage="1" promptTitle="Past Support Judgment:" prompt="Check (x) this box only if Past Support Judgment is desired pursuant to A.R.S. §25-320(B) or §25-809(B)." sqref="G112" xr:uid="{9B572B26-DE05-42D1-8184-FCF5CFCE026D}">
      <formula1>INDIRECT("TblCheckbox")</formula1>
    </dataValidation>
    <dataValidation type="list" allowBlank="1" showInputMessage="1" showErrorMessage="1" promptTitle="Past Support From Filing:" prompt="Check (x) this box if you wish to enter the Past Support Judgment from the date of filing of the current petition until today pursuant to A.R.S. §25-320(B) or §25-809(B)." sqref="H113" xr:uid="{48A69853-3BC9-4C3F-8D83-ED36FE708961}">
      <formula1>INDIRECT("TblCheckbox")</formula1>
    </dataValidation>
    <dataValidation allowBlank="1" showInputMessage="1" showErrorMessage="1" promptTitle="Arrearage Start Date:" prompt="Enter the start date of the arrearage calculation period." sqref="M107:R107" xr:uid="{41270531-1F5B-4370-AC03-BC6C96170DF8}"/>
    <dataValidation allowBlank="1" showInputMessage="1" showErrorMessage="1" promptTitle="Principal Arrearage Amount:" prompt="Enter the total principal amount of child support arrearage for the calculated period." sqref="Q106:T106" xr:uid="{CCC06271-C038-4421-9CD0-DEB34737A5EB}"/>
    <dataValidation type="list" allowBlank="1" showInputMessage="1" showErrorMessage="1" promptTitle="Arrearage Judgment:" prompt="Check (x) this box if you wish to enter a child support arrearage judgment.  Otherwise leave blank.  Also leave blank if no new arrearage judgment will be entered but a monthly payment on prior arrearages will be entered below." sqref="G106" xr:uid="{BB102D81-06AF-47CB-A593-1EEF6DA9A79E}">
      <formula1>INDIRECT("TblCheckbox")</formula1>
    </dataValidation>
    <dataValidation type="custom" errorStyle="warning" allowBlank="1" showInputMessage="1" showErrorMessage="1" errorTitle="Future Interest?" error="Are you sure you want to enter interest for a period beyond today?" promptTitle="Interest Calculation Date:" prompt="Enter date thru which interest on arrearage judgment is calculated." sqref="U108:Z108" xr:uid="{18EB20AE-13E2-4270-A547-EACA2D36F268}">
      <formula1>$U$108&lt;=TODAY()</formula1>
    </dataValidation>
    <dataValidation allowBlank="1" showInputMessage="1" showErrorMessage="1" promptTitle="Reasons For Deviation" prompt="Input any additional reasons supporting a deviation in this space.  Typing can exceed the box somewhat." sqref="P101:AA103" xr:uid="{EA3F88A3-9699-49AE-8DD6-9E73F8655B83}"/>
    <dataValidation type="decimal" operator="greaterThanOrEqual" allowBlank="1" showInputMessage="1" showErrorMessage="1" error="Negative Amount Entered--Enter Without A Minus Sign." promptTitle="Extraordinary Child Expenses:" prompt="Enter amount of Extraordinary Child Expenses paid here." sqref="U69:W69 Y69:AA69" xr:uid="{2DD0BDBB-4512-4ED2-A322-63F01D95D14B}">
      <formula1>0</formula1>
    </dataValidation>
    <dataValidation type="decimal" operator="greaterThanOrEqual" allowBlank="1" showInputMessage="1" showErrorMessage="1" errorTitle="Medical &amp; Dental Insurance Paid:" error="Negative Amount Entered--Enter Without A Minus Sign." promptTitle="Insurance Responsibility:" prompt="If neither parent has medical insurance, enter &quot;0&quot; in column(s) to require chosen parent(s) be required to provide medical insurance in support order._x000a_" sqref="Y65:AA65" xr:uid="{ADE97BA3-37B8-4FD2-A07D-D8C5F1F8BAEB}">
      <formula1>0</formula1>
    </dataValidation>
    <dataValidation type="decimal" operator="greaterThanOrEqual" allowBlank="1" showInputMessage="1" showErrorMessage="1" errorTitle="Mother's Gross Monthly Income" error="Enter Valid Monthly, Annual or Hourly Income" prompt="Hourly Income Will Be Multiplied By 2080 (40 x 52) And Divided By 12." sqref="P52:R52" xr:uid="{04B19132-4D21-488A-B7D8-DF28F8F18EA7}">
      <formula1>0</formula1>
    </dataValidation>
    <dataValidation type="decimal" operator="greaterThanOrEqual" allowBlank="1" showInputMessage="1" showErrorMessage="1" errorTitle="Father's Gross Monthly Income" error="Enter Valid Monthly, Annual or Hourly Income" prompt="Hourly Income Will Be Multiplied By 2080 (40 x 52) And Divided By 12." sqref="P51:R51" xr:uid="{9C41846A-2D12-41C5-95AE-BFB57148E1F6}">
      <formula1>0</formula1>
    </dataValidation>
    <dataValidation type="decimal" allowBlank="1" showInputMessage="1" showErrorMessage="1" errorTitle="Spousal Maintenance Paid" error="INVALID AMOUNT!_x000a__x000a_Enter amount with minus sign to indicate paying spousal maintenance._x000a_Enter amount without minus sign to indicate receiving spousal maintenance." promptTitle="Spousal Maintenance:" prompt="Enter positive amount of Spousal Maintenance this parent is actually receiving, or negative amount this parent is actually paying." sqref="U54:W54 Y54:AA54" xr:uid="{5F310669-67DB-4BAA-A447-66C7666F000E}">
      <formula1>-100000</formula1>
      <formula2>100000</formula2>
    </dataValidation>
    <dataValidation type="decimal" operator="lessThanOrEqual" allowBlank="1" showInputMessage="1" showErrorMessage="1" errorTitle="Court Ordered Child Support" error="Enter number with a minus sign!" promptTitle="Court Ordered Child Support" sqref="X55" xr:uid="{DC01513F-A3BA-49DC-92BC-E2B04D8D91DD}">
      <formula1>0</formula1>
    </dataValidation>
    <dataValidation type="whole" allowBlank="1" showInputMessage="1" showErrorMessage="1" errorTitle="Support of Children Not Ordered" error="Enter discretionary number of children the parent is supporting but not by court crder." promptTitle="Support of Children Not Ordered:" prompt="May enter number of other natural or adopted children NOT covered by a court order. " sqref="G57:G58" xr:uid="{46F634B7-7F90-461D-95DA-1C76593EBDCF}">
      <formula1>0</formula1>
      <formula2>100</formula2>
    </dataValidation>
    <dataValidation type="decimal" operator="greaterThanOrEqual" allowBlank="1" showInputMessage="1" showErrorMessage="1" errorTitle="Father's Gross Monthly Income" error="Enter Valid Monthly, Annual or Hourly Income" prompt="Insert Child Suport Monthly Income._x000a_" sqref="J51:L51" xr:uid="{CBF9CBF6-0048-4DFE-A3F5-DCF11F66AEE2}">
      <formula1>0</formula1>
    </dataValidation>
    <dataValidation type="decimal" operator="greaterThanOrEqual" allowBlank="1" showInputMessage="1" showErrorMessage="1" errorTitle="Father's Gross Monthly Income" error="Enter Valid Monthly, Annual or Hourly Income" prompt="Annual Income Will Be Divided By 12." sqref="M51:O51" xr:uid="{C77027A5-95D0-432E-B705-AF1713C11A30}">
      <formula1>0</formula1>
    </dataValidation>
    <dataValidation type="decimal" operator="greaterThanOrEqual" allowBlank="1" showInputMessage="1" showErrorMessage="1" errorTitle="Mother's Gross Monthly Income" error="Enter Valid Monthly, Annual or Hourly Income" prompt="Annual Income Will Be Divided By 12." sqref="M52:O52" xr:uid="{456154EA-952C-4530-8566-328A7473B7C0}">
      <formula1>0</formula1>
    </dataValidation>
    <dataValidation type="list" allowBlank="1" showInputMessage="1" showErrorMessage="1" errorTitle="Parenting Plan" error="You must type x to &quot;check&quot; a box." promptTitle="Parenting Plan" prompt="Check (x) only one." sqref="P49 J49 M49" xr:uid="{ADAF0DD2-654B-4E05-923C-CE6343065DC4}">
      <formula1>INDIRECT("TblCheckbox")</formula1>
    </dataValidation>
    <dataValidation allowBlank="1" showInputMessage="1" showErrorMessage="1" promptTitle="Other Child Support Ordered:" prompt="Enter the amount of child support from another relationship that parent is court ordered to pay and is actually paying." sqref="U55:W55 Y55:AA55" xr:uid="{FBBB426B-4D4B-4067-BB65-D25D356F85C9}"/>
    <dataValidation type="whole" errorStyle="warning" allowBlank="1" showInputMessage="1" showErrorMessage="1" errorTitle="Actual Grade" error="Must Enter The Current Grade of the Youngest Child As A Number Between 1 and 12." promptTitle="Youngest Child's Current Grade" prompt="Enter actual grade (1 to 12) Youngest Child is in now (or will start in September) ONLY if different than calculated grade.  For this purpose consider a child entering the next grade on June 1 of each year." sqref="X24:Z24" xr:uid="{A4DF75E8-4FFA-449B-90B7-2DB68A02FBDC}">
      <formula1>0</formula1>
      <formula2>12</formula2>
    </dataValidation>
    <dataValidation type="date" errorStyle="warning" allowBlank="1" showInputMessage="1" showErrorMessage="1" errorTitle="Child's DOB Correct?" error="Date entered does not place child between 0 and 19 years of age." promptTitle="Child's Date of Birth:" prompt="Insert child's date of birth using &quot;-&quot; or &quot;/&quot; between numbers." sqref="M18:R23" xr:uid="{30FFF5F0-88C1-4137-BAF5-3572D763A4AB}">
      <formula1>TODAY()-(365.25*19)</formula1>
      <formula2>TODAY()</formula2>
    </dataValidation>
    <dataValidation allowBlank="1" showInputMessage="1" showErrorMessage="1" promptTitle="Child's Name:" prompt="Input child's name next to correct birthday." sqref="F18:L23" xr:uid="{D47FE4A3-CA1F-49C5-B206-166E8BA0DBF8}"/>
    <dataValidation type="list" allowBlank="1" showInputMessage="1" showErrorMessage="1" errorTitle="IV-D" error="You must type x to &quot;check&quot; the box." promptTitle="IV-D Case?" prompt="Check (x) for &quot;State of Arizona&quot; caption only if filed as a IV-D case by the State." sqref="P10" xr:uid="{26B9BCB5-AB94-4D7A-BC14-E70679ADEA55}">
      <formula1>INDIRECT("TblCheckbox")</formula1>
    </dataValidation>
    <dataValidation allowBlank="1" showInputMessage="1" showErrorMessage="1" promptTitle="Case Number:" prompt="Insert Case Number.  If this comment box obscures text, hold cursor on this box with left mouse click and drag to convenient spot at right where all future comments will appear." sqref="F10:J10" xr:uid="{15B263E5-C8FC-4A55-9747-CB19DE310031}"/>
    <dataValidation allowBlank="1" showInputMessage="1" showErrorMessage="1" promptTitle="Petitioner:" prompt="Insert Petitioner's name as it appears in court records." sqref="F12:N12" xr:uid="{235CF6BC-1351-47B5-B5F7-B5740F33D198}"/>
    <dataValidation allowBlank="1" showInputMessage="1" showErrorMessage="1" promptTitle="Respondent:" prompt="Insert Respondent's name as it appears in court records." sqref="F14:N14" xr:uid="{C08BB968-BD39-4E44-ACAA-4040C1AF8BC0}"/>
    <dataValidation allowBlank="1" showInputMessage="1" showErrorMessage="1" promptTitle="Paternity Expense Amount:" prompt="Enter total of any pregnancy, childbirth, genetic testing and similar costs in a Paternity action." sqref="M119:P119" xr:uid="{EDC97840-7D69-43A1-A078-DC15C9F35DA5}"/>
    <dataValidation type="custom" errorStyle="warning" allowBlank="1" showInputMessage="1" showErrorMessage="1" errorTitle="Child Support Arrearage" error="No Child Support Arrearage Judgment is entered in this order." promptTitle="Child Support Arrearage:" prompt="Enter amount of monthly payment to be applied to child support arrears." sqref="R125:U125" xr:uid="{0E01A17E-E85A-4673-A911-2E6D30AE2E3F}">
      <formula1>ISNUMBER($N$125)</formula1>
    </dataValidation>
    <dataValidation type="custom" errorStyle="warning" allowBlank="1" showInputMessage="1" showErrorMessage="1" errorTitle="Past Child Support Judgment" error="No Past Child Support Judgment was entered in this Order." promptTitle="Past Child Support Judgment:" prompt="Enter amount of monthly payment to be applied towards Past Child Support Judgment." sqref="R126:U126" xr:uid="{2F875F51-54AD-4908-8CAE-4029FB57A25C}">
      <formula1>ISNUMBER($N$126)</formula1>
    </dataValidation>
    <dataValidation errorStyle="warning" allowBlank="1" showInputMessage="1" showErrorMessage="1" promptTitle="Current Spousal Maintenance:" prompt="Enter amount of current spousal maintenance payment ONLY if  number listed is incorrect." sqref="N128:Q128" xr:uid="{37A0C7C8-1374-47A7-93A7-03BDF9E9D977}"/>
    <dataValidation type="custom" errorStyle="warning" allowBlank="1" showInputMessage="1" showErrorMessage="1" errorTitle="Excessive Rounding?" error="You have rounded the support amount more than $10 for the Guidelines amount." promptTitle="Arrearage End Date:" prompt="Enter the end date of the arrearage calculation period." sqref="V107:AA107" xr:uid="{CF7F12D4-D4CF-42DD-BD16-771D582948D4}">
      <formula1>OR($S$96&gt;$H$96-10,$S$96&lt;$H$96+10)</formula1>
    </dataValidation>
    <dataValidation type="whole" allowBlank="1" showInputMessage="1" showErrorMessage="1" errorTitle="Child[ren] Age 12 of Over:" error="Enter a number between 1 and 6." promptTitle="Child[ren] Age 12 of Over:" prompt="No need to enter number if default is correct." sqref="G63" xr:uid="{00669FD9-BB54-4BD1-86DA-755610076F9E}">
      <formula1>0</formula1>
      <formula2>6</formula2>
    </dataValidation>
    <dataValidation type="decimal" errorStyle="warning" allowBlank="1" showInputMessage="1" showErrorMessage="1" errorTitle="Excessive Rounding?" error="You have rounded the support amount more than $10 from the Guidelines amount without formal deviation findings." promptTitle="Non-Deviation Rounding" prompt="If you desire to adjust the calculated support amount a de minimus amount to a round number without formal deviation findings, enter the rounded amount here." sqref="S96:V96" xr:uid="{0C551F5C-A7EE-441A-ACBD-209A1EC5E118}">
      <formula1>$H$96-10</formula1>
      <formula2>$H$96+10</formula2>
    </dataValidation>
    <dataValidation type="list" allowBlank="1" showInputMessage="1" showErrorMessage="1" promptTitle="Deviation By Agreement:" prompt="Check (x) this box if the parties agree to a deviation from the child support amount determined by the guidelines AND the Court will approve it." sqref="G98" xr:uid="{E05F2341-431A-4450-A251-B60FDADF8755}">
      <formula1>INDIRECT("TblCheckbox")</formula1>
    </dataValidation>
    <dataValidation type="list" allowBlank="1" showInputMessage="1" showErrorMessage="1" promptTitle="Deviation By Court:" prompt="Check (x) this box to approve a deviation that is in the best interest of the child(ren) when the parties don't specifically agree to it." sqref="G99" xr:uid="{C2CEA3C6-9BC2-4F6B-B706-0D23FE75647E}">
      <formula1>INDIRECT("TblCheckbox")</formula1>
    </dataValidation>
    <dataValidation allowBlank="1" showInputMessage="1" showErrorMessage="1" promptTitle="Additional Reasons To Deviate:" prompt="Optional:  State any specific reasons that the deviation agreed to by the parties or approved by the court is appropriate." sqref="G100:AA100" xr:uid="{01F5B78E-A196-4BAE-A964-68DB038E2233}"/>
    <dataValidation allowBlank="1" showInputMessage="1" showErrorMessage="1" promptTitle="Support After Deviation:" prompt="Enter the amount of monthly child support to be entered after the deviation." sqref="H101:J101" xr:uid="{FAFA843F-B90D-4740-AD58-535A50A8B47D}"/>
    <dataValidation type="list" allowBlank="1" showInputMessage="1" showErrorMessage="1" promptTitle="Paternity Expenses:" prompt="Check (x) this box if a Judgment for costs of pregnancy, childbirth, genetic testing or similar expenses will be entered." sqref="G119" xr:uid="{FE78E97F-50B3-43DA-ADB5-4CC317E8555F}">
      <formula1>INDIRECT("TblCheckbox")</formula1>
    </dataValidation>
    <dataValidation type="list" allowBlank="1" showInputMessage="1" showErrorMessage="1" promptTitle="Mother To Pay Paternity Expenses" prompt="Check (x) this box ONLY if Parent B will be ordered to pay Paternity Expenses." sqref="X119" xr:uid="{39E4C19D-4569-4D9A-9299-D3826C5186A2}">
      <formula1>INDIRECT("TblCheckbox")</formula1>
    </dataValidation>
    <dataValidation allowBlank="1" showInputMessage="1" showErrorMessage="1" promptTitle="Child's Age:" prompt="No need to enter age if DOB is entered to left." sqref="S18:T23" xr:uid="{BA0B9D39-CE8F-4556-A6A7-6EB8A766616D}"/>
    <dataValidation allowBlank="1" showInputMessage="1" showErrorMessage="1" promptTitle="Child[ren] Subject to Childcare:" prompt="Enter number here ONLY if default is NOT correct." sqref="I66" xr:uid="{8BE617C5-1C54-490C-AA61-B97ECCB2D719}"/>
    <dataValidation allowBlank="1" showInputMessage="1" showErrorMessage="1" promptTitle="Chilldcare Costs:" prompt="Enter amount of childcare costs paid here." sqref="U67:W67" xr:uid="{A55153B5-D5A0-4FE7-9835-31BC9ED0646E}"/>
    <dataValidation type="decimal" operator="greaterThanOrEqual" allowBlank="1" showInputMessage="1" showErrorMessage="1" errorTitle="Monthly Childcare Costs" error="Negative Amount Entered--Enter Without A Minus Sign." promptTitle="Childcare Costs:" prompt="Enter amount of childcare costs paid here." sqref="Y67:AA67" xr:uid="{6EA859FB-1FD1-4A64-B033-66FA710FFD10}">
      <formula1>0</formula1>
    </dataValidation>
    <dataValidation type="decimal" operator="greaterThanOrEqual" allowBlank="1" showInputMessage="1" showErrorMessage="1" error="Negative Amount Entered--Enter Without A Minus Sign." promptTitle="Extra Education Expenses:" prompt="Enter amount of Extra Education Expenses paid here." sqref="U68:W68 Y68:AA68" xr:uid="{31AFCBBA-2E0C-434A-9E3B-9C4F826D71A1}">
      <formula1>0</formula1>
    </dataValidation>
    <dataValidation type="list" allowBlank="1" showInputMessage="1" showErrorMessage="1" errorTitle="Self Support Reserve Test" error="You must type x to &quot;check&quot; a box." promptTitle="Self Support Reserve Test:" prompt="Check (x) this box if you do NOT want to reduce support in accordance with the Self Support Reserve Test." sqref="L80" xr:uid="{297206DA-FA7E-4818-A4BD-9CCE010644F5}">
      <formula1>INDIRECT("TblCheckbox")</formula1>
    </dataValidation>
    <dataValidation allowBlank="1" showInputMessage="1" showErrorMessage="1" promptTitle="Interest On Arrearage Judgment:" prompt="Enter amount of interest on the child support arrearage judgment created above." sqref="M108:P108" xr:uid="{ECA5844E-CBAA-4861-8302-859145E5A711}"/>
    <dataValidation allowBlank="1" showInputMessage="1" showErrorMessage="1" promptTitle="Past Due Spousal Maintenance:" prompt="Enter amount of monthly payment desired on past due spousal maintenance." sqref="R129:U129" xr:uid="{77B3036D-5EBC-4FE1-A7E5-7D7741F435ED}"/>
    <dataValidation allowBlank="1" showInputMessage="1" showErrorMessage="1" promptTitle="Paternity Expenses:" prompt="Enter monthly payment, if any, on Paternity Expenses Judgment.  This will ordered to be paid direct, rather than through Order of Assignment." sqref="T120:W120" xr:uid="{FB68C40C-3A5D-466E-A155-41E850C4F305}"/>
    <dataValidation allowBlank="1" showInputMessage="1" showErrorMessage="1" promptTitle="2018 Self Reserve Test" prompt="After January 1, 2022, it is calculated as 80% of the monthly full-time earnings at the current state minimum wage at the time of the order. Check this box to use the 2018 Child Support Self Reserve Test." sqref="O30" xr:uid="{27826021-522D-4AF7-BFF0-C64036E8590A}"/>
    <dataValidation allowBlank="1" showInputMessage="1" showErrorMessage="1" promptTitle="Minimum Wage of Current State:" prompt="Enter the minimum wage in the payer's current state, if it is different from the number to the immediate right._x000a__x000a_Arizona Minimum Wage:_x000a_     In 2019: $11.00/hour_x000a_     In 2020: $12.00/hour_x000a_     In 2021: $12.15/hour_x000a_     In 2022: $12.80/hour" sqref="O31:Q31" xr:uid="{B0915AC8-F142-461C-96DA-1A99E104A1C1}"/>
    <dataValidation type="decimal" operator="greaterThanOrEqual" allowBlank="1" showInputMessage="1" showErrorMessage="1" errorTitle="Mother's Gross Monthly Income" error="Enter Valid Monthly, Annual or Hourly Income" prompt="Insert Child Suport Monthly Income." sqref="J52:L52" xr:uid="{4F9EDA1B-06E3-4E0B-BE25-10E08F596995}">
      <formula1>0</formula1>
    </dataValidation>
    <dataValidation type="decimal" operator="greaterThanOrEqual" allowBlank="1" showInputMessage="1" showErrorMessage="1" errorTitle="Medical &amp; Dental Insurance Paid:" error="Negative Amount Entered--Enter Without A Minus Sign." promptTitle="Insurance Responsibility:" prompt="If neither parent has medical insurance, enter &quot;0&quot; in column(s) to require chosen parent(s) be required to provide medical insurance in support order." sqref="U65:W65" xr:uid="{0FD3DBA1-EF95-4781-B0A6-D037367B91EC}">
      <formula1>0</formula1>
    </dataValidation>
    <dataValidation type="list" allowBlank="1" showInputMessage="1" showErrorMessage="1" promptTitle="Vital Records:" prompt="Check (x) if Order to be forwarded to Office of Vital Records for addition to Child's Birth Certificate." sqref="I239 I232" xr:uid="{5C176E97-6B7B-4474-B1F5-32A82F0FA636}">
      <formula1>INDIRECT("TblCheckbox")</formula1>
    </dataValidation>
    <dataValidation type="list" allowBlank="1" showInputMessage="1" showErrorMessage="1" promptTitle="Gender Neutral Terms:" prompt="Check (x) this box if Persumptive Parent is a more appropriate term than Presumptive Father." sqref="T245" xr:uid="{D8FC4B14-86F6-459B-8B71-09BAE8C8667F}">
      <formula1>INDIRECT("TblCheckbox")</formula1>
    </dataValidation>
    <dataValidation type="list" showInputMessage="1" showErrorMessage="1" errorTitle="Invalid County name" error="This value does match any County name in the list." promptTitle="County:" prompt="Select name of County that will appear in all pleadings." sqref="L10:N10" xr:uid="{F3ED3842-4C0D-4E07-A3CC-61E35B2A0342}">
      <formula1>"Apache,Cochise,Coconino,Gila,Graham,Greenlee,La Paz,Maricopa,Mohave,Navajo,Pima,Pinal,Santa Cruz,Yavapai,Yuma"</formula1>
    </dataValidation>
    <dataValidation allowBlank="1" showInputMessage="1" showErrorMessage="1" promptTitle="Contested Findings:" prompt="Enter any contested findings or orders here. Note the area of the worksheet being contested and the reasons for the order." sqref="E190:Z190 E192:Z192 E194:Z194 E196:Z196 E198:Z198 E200:Z200 E202:Z202 E204:Z204 E206:Z206 E208:Z208 E210:Z210 E212:Z212 E214:Z214 E216:Z216 E218:Z218 E188:Z188" xr:uid="{0432ED3B-102C-44F2-AAAC-E6F933654746}"/>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O57" xr:uid="{78BBBCD2-E60D-470D-9662-3100E6FC1063}">
      <formula1>0</formula1>
      <formula2>-AJ58</formula2>
    </dataValidation>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Q57" xr:uid="{F89FFC8A-FA7D-4813-9D08-8F0267C05873}">
      <formula1>0</formula1>
      <formula2>-AK58</formula2>
    </dataValidation>
    <dataValidation type="decimal" allowBlank="1" showInputMessage="1" showErrorMessage="1" errorTitle="Deduction Too High!" error="Deduction Cannot Exceed That Amount Provided By A Simplified Application of the Guidelines" promptTitle="Children Not Covered By Order:" prompt="No need to enter an amount unless you desire a deduction less than the simplified application of the Guidelines." sqref="P57" xr:uid="{C0A4D484-0716-47A4-8BD6-0E0D32B6DB1D}">
      <formula1>0</formula1>
      <formula2>-#REF!</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O58" xr:uid="{A12329FB-7F64-45D4-9A74-364653987627}">
      <formula1>0</formula1>
      <formula2>-AJ59</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Q58" xr:uid="{1D804D3A-8591-4328-916C-01E2C2E903F3}">
      <formula1>0</formula1>
      <formula2>-AK59</formula2>
    </dataValidation>
    <dataValidation type="decimal" allowBlank="1" showInputMessage="1" showErrorMessage="1" errorTitle="Deduction Too High!" error="Deduction Cannot Exceed The Amount Provided By A Simplified Application of the Guidelines" promptTitle="Children Not Covered By Order:" prompt="No need to enter an amount unless you desire a deduction less than the simplified application of the Guidelines." sqref="P58" xr:uid="{59DE0774-F459-47CC-8F1A-AD40EC31626F}">
      <formula1>0</formula1>
      <formula2>-#REF!</formula2>
    </dataValidation>
    <dataValidation type="list" allowBlank="1" showInputMessage="1" showErrorMessage="1" errorTitle="Attributed" error="Acceptable values are blank or &quot;x&quot; only." promptTitle="Attributed" prompt="Check (x) if income is attributed." sqref="S51:S52" xr:uid="{B6E73CAA-EF71-4055-B537-7A3994D5BBDB}">
      <formula1>INDIRECT("TblCheckbox")</formula1>
    </dataValidation>
    <dataValidation type="date" errorStyle="warning" allowBlank="1" showInputMessage="1" showErrorMessage="1" errorTitle="Date of Birth" error="Date of Birth does not appear to be a valid date." promptTitle="Date of Birth" prompt="Enter Date of Birth in format XX/XX/XXXX" sqref="I286:Q286" xr:uid="{4968B18C-0ED4-4AD5-A9DC-D032BE459459}">
      <formula1>TODAY()-(365.25*100)</formula1>
      <formula2>TODAY()</formula2>
    </dataValidation>
    <dataValidation type="list" allowBlank="1" showInputMessage="1" showErrorMessage="1" sqref="Q298 T298 G93 H91:H92" xr:uid="{2E5DB3BF-1954-48C0-8D73-8D4DD2788647}">
      <formula1>INDIRECT("TblCheckbox")</formula1>
    </dataValidation>
    <dataValidation type="whole" allowBlank="1" showInputMessage="1" showErrorMessage="1" errorTitle="Parenting TIme" error="Parenting Time must be a number between 0 and 365." promptTitle="Parenting Time" prompt="Enter the  total number of parenting-time days per year for the noncustodian._x000a__x000a_This field does not apply when there is equal parenting time." sqref="K74:L75" xr:uid="{3030C06B-5B5A-484C-98ED-134B5689AFE1}">
      <formula1>0</formula1>
      <formula2>365</formula2>
    </dataValidation>
    <dataValidation type="date" allowBlank="1" showInputMessage="1" showErrorMessage="1" errorTitle="Date of Calculations" error="Date cannot be before the year 2000 or more than three years in the future." promptTitle="Date of Calculations" prompt="Optional:  Worksheet will show today's date unless alternate date is entered here." sqref="N26:W26" xr:uid="{12551EE4-D4BD-4C1B-A054-EC6216867E3F}">
      <formula1>36526</formula1>
      <formula2>TODAY()+(365 * 3)</formula2>
    </dataValidation>
    <dataValidation allowBlank="1" showInputMessage="1" showErrorMessage="1" promptTitle="Caption For Past Time Period:" prompt="Optional:  Insert &quot;Calendar Year 2009&quot; or &quot;From 1-1-10 to 6-30-10&quot; or similar designation for worksheet calculation covering a specific past time period.  Leave blank for current calculation." sqref="N28:W29" xr:uid="{563FF1F6-BD86-4FE2-84A3-E9239764DF36}"/>
    <dataValidation allowBlank="1" showInputMessage="1" showErrorMessage="1" promptTitle="Judicial Officer" prompt="Insert customized signature line for an individual judicial officer, e.g. &quot;Judge Elizabeth Jones&quot; or &quot;Honorable John Smith&quot;.  Remember to delete custom name when sharing with someone else." sqref="Q184:Y184" xr:uid="{F2E3224A-EA86-47F5-BAA1-02138E832BED}"/>
  </dataValidations>
  <hyperlinks>
    <hyperlink ref="B1" r:id="rId1" xr:uid="{F2A6AB4C-A69A-4447-AE5D-36545DC58693}"/>
    <hyperlink ref="N193" location="Worksheet!J51" display="Goto worksheet" xr:uid="{74542F4F-C4BE-4269-832E-120216859376}"/>
    <hyperlink ref="N191" location="Worksheet!J51" display="Goto worksheet" xr:uid="{536513BF-7169-46AF-9BFD-0A4037C92E51}"/>
    <hyperlink ref="N189" location="Worksheet!J51" display="Goto worksheet" xr:uid="{66AD3F33-F389-4828-B02A-988639792440}"/>
    <hyperlink ref="AB54" location="appAAlimony" display="Contest spousal maintenance" xr:uid="{472CA96C-5257-46C6-A5AC-292A3BD3EC7E}"/>
    <hyperlink ref="N191:R191" location="Worksheet!AB54" display="Back to worksheet" xr:uid="{DC5D8B78-7A77-4488-9ED7-C2D91F190348}"/>
    <hyperlink ref="N193:R193" location="Worksheet!AB55" display="Back to worksheet" xr:uid="{7505938E-09A6-4686-A97F-BF0F9F256D32}"/>
    <hyperlink ref="AB55" location="appASupport" display="Contest court ordered support" xr:uid="{6B359B06-B500-4DF0-9C58-5D0416AF2121}"/>
    <hyperlink ref="AB57" location="appASupportOther" display="Contest other support" xr:uid="{D1634BE0-4550-417E-93DC-8046AD311EFB}"/>
    <hyperlink ref="N195" location="Worksheet!J51" display="Goto worksheet" xr:uid="{5D7E8B4A-AD11-479A-8020-1237F2DD07EC}"/>
    <hyperlink ref="N195:R195" location="Worksheet!AB57" display="Back to worksheet" xr:uid="{751CC18B-494F-434E-8C26-3E837E9EB8A7}"/>
    <hyperlink ref="N197" location="Worksheet!J51" display="Goto worksheet" xr:uid="{53218138-78A3-40A0-869D-2EA9051200DC}"/>
    <hyperlink ref="N197:R197" location="Worksheet!AB60" display="Back to worksheet" xr:uid="{E9CB4EA3-BBE0-4386-B1A6-E5BBBCF80919}"/>
    <hyperlink ref="AB60" location="appACagi" display="Contest" xr:uid="{5BFEEC5D-34D3-44A9-8272-F604F7AB22EF}"/>
    <hyperlink ref="AB64" location="AppAOver12" display="Contest" xr:uid="{C232DA53-7E16-467D-83A9-27A5D0E1ACD3}"/>
    <hyperlink ref="AB65" location="AppAMedical" display="Contest" xr:uid="{44A6DDA2-AF80-4858-9D99-0339A10DF5D0}"/>
    <hyperlink ref="AB67" location="AppAChildCare" display="Contest" xr:uid="{750E8991-13C5-4FAA-84B0-90FD80D725F0}"/>
    <hyperlink ref="AB68" location="AppAEducation" display="Contest" xr:uid="{8225F568-3131-4716-BA8F-671C4FE3F860}"/>
    <hyperlink ref="AB69" location="AppAExtraordinary" display="Contest" xr:uid="{9315700A-8594-4F7A-B0C3-624EA580B756}"/>
    <hyperlink ref="AB71" location="AppACAGIShare" display="Contest" xr:uid="{C6564B66-1CB6-4DE3-9529-C6A97F149624}"/>
    <hyperlink ref="AB75" location="AppAParentingTime" display="Contest" xr:uid="{F806E331-2596-4F49-8B87-8C99165D1C15}"/>
    <hyperlink ref="AB76" location="AppATotalAdjustments" display="Contest" xr:uid="{98B922A9-97F3-4E76-A480-123E05EF7153}"/>
    <hyperlink ref="AB77" location="AppAObligation" display="Contest" xr:uid="{116BF6FE-F1B3-404E-9F40-612EF6D2A2E0}"/>
    <hyperlink ref="AB78" location="AppASSRT" display="Contest" xr:uid="{A780027A-2114-4E0E-AEC6-AE4706879810}"/>
    <hyperlink ref="N199" location="Worksheet!J51" display="Goto worksheet" xr:uid="{3D0B7C10-A0C9-4672-BC79-FE17A9A851FA}"/>
    <hyperlink ref="N199:R199" location="Worksheet!AB64" display="Back to worksheet" xr:uid="{E707B741-F74B-4C2F-9379-43EE8564A1C8}"/>
    <hyperlink ref="N201" location="Worksheet!J51" display="Goto worksheet" xr:uid="{7DCB95D7-DCEB-4748-9A3E-0FC049A9DA9A}"/>
    <hyperlink ref="N201:R201" location="Worksheet!AB65" display="Back to worksheet" xr:uid="{5884D159-F526-40DD-B777-71E926C257C3}"/>
    <hyperlink ref="N203" location="Worksheet!J51" display="Goto worksheet" xr:uid="{A1831047-7818-4D66-8F64-DF7537E4E44A}"/>
    <hyperlink ref="N203:R203" location="Worksheet!AB67" display="Back to worksheet" xr:uid="{0C405C40-B4BE-45BA-B250-B358860BA274}"/>
    <hyperlink ref="N209" location="Worksheet!J51" display="Goto worksheet" xr:uid="{3AC166E6-102C-4B33-8EC2-8E0975A52E7C}"/>
    <hyperlink ref="N207" location="Worksheet!J51" display="Goto worksheet" xr:uid="{5AAB1A24-408C-49D6-BF68-1E21DA6F9AD4}"/>
    <hyperlink ref="N205" location="Worksheet!J51" display="Goto worksheet" xr:uid="{6524331E-6DEB-4A4E-A011-45E1AD27C6C3}"/>
    <hyperlink ref="N207:R207" location="Worksheet!AB69" display="Back to worksheet" xr:uid="{D72CF541-00AC-419E-9BCB-2AABFF53A6DB}"/>
    <hyperlink ref="N209:R209" location="Worksheet!AB71" display="Back to worksheet" xr:uid="{0C874037-6886-4E2A-9B09-5385D8F2C3BC}"/>
    <hyperlink ref="N211" location="Worksheet!J51" display="Goto worksheet" xr:uid="{9A3F0586-47B3-4A02-8EA0-0DE1C684129F}"/>
    <hyperlink ref="N211:R211" location="Worksheet!AB75" display="Back to worksheet" xr:uid="{14C79A80-6A83-4D73-A5DD-58E8CFC1E280}"/>
    <hyperlink ref="N213" location="Worksheet!J51" display="Goto worksheet" xr:uid="{6CC2BDA6-43EA-4A1B-A239-01D6E367AC7E}"/>
    <hyperlink ref="N213:R213" location="Worksheet!AB76" display="Back to worksheet" xr:uid="{8DD548C7-73EF-4365-A96B-1E2D4B37CDC6}"/>
    <hyperlink ref="N215" location="Worksheet!J51" display="Goto worksheet" xr:uid="{EE9C38AB-9C7B-4D3E-8216-656503EFED04}"/>
    <hyperlink ref="N215:R215" location="Worksheet!AB77" display="Back to worksheet" xr:uid="{9FA2549B-23DF-49E7-9C6E-BC19D2E4566F}"/>
    <hyperlink ref="N217" location="Worksheet!J51" display="Goto worksheet" xr:uid="{9EF9CC69-AEA6-49BA-8313-2DF430C46BAF}"/>
    <hyperlink ref="N217:R217" location="Worksheet!AB78" display="Back to worksheet" xr:uid="{41A74B66-2B24-4F9E-9500-1A0D7E195122}"/>
    <hyperlink ref="N205:R205" location="Worksheet!AB68" display="Back to worksheet" xr:uid="{EE2C9A7B-42E7-4357-871A-36CA078EE50D}"/>
    <hyperlink ref="AB52" location="AppAIncome" display="Contest" xr:uid="{FC75C0A9-D4CC-4CCA-B6FA-3D26167B6B32}"/>
    <hyperlink ref="N187" location="Worksheet!J51" display="Goto worksheet" xr:uid="{CFC897B5-A693-4B31-83AB-ADB2CA6D4A15}"/>
    <hyperlink ref="AB50" location="AppAAttributed" display="Attributed" xr:uid="{C677A414-C855-42CD-B1CB-C7B179228E50}"/>
    <hyperlink ref="N187:R187" location="Worksheet!AB50" display="Back to worksheet" xr:uid="{8E51DDBA-C1A2-4D49-B991-3992E4F1CC1E}"/>
    <hyperlink ref="N189:R189" location="Worksheet!AB52" display="Back to worksheet" xr:uid="{2B31B5FD-086B-4C47-B8CC-F2C522E5C543}"/>
    <hyperlink ref="U32:AA32" r:id="rId2" display="Find Tucson, AZ min. wage" xr:uid="{1A9CDD40-C1BE-4B53-83BF-9831B2EB0AAB}"/>
    <hyperlink ref="B1:H1" r:id="rId3" display="View Child Support Guidelines" xr:uid="{879E1616-407C-495B-B50A-B044F599EEF9}"/>
    <hyperlink ref="U30" r:id="rId4" display="View Child Support Guidelines" xr:uid="{2BF6B919-A8B8-4106-AB15-179867142DA6}"/>
    <hyperlink ref="U30:AA30" r:id="rId5" location="State%20Minimum%20Wages" display="Find state's minimum wage" xr:uid="{98F5D20A-5126-4400-B3CA-4BA39A41E100}"/>
    <hyperlink ref="U31:AA31" r:id="rId6" display="Find Flagstaff, AZ min. wage" xr:uid="{078B7BF0-1AC8-4252-AD3E-E678E3D55D03}"/>
  </hyperlinks>
  <pageMargins left="0.75" right="0" top="0.75" bottom="0.5" header="0.5" footer="0.5"/>
  <pageSetup scale="96" orientation="portrait" r:id="rId7"/>
  <headerFooter alignWithMargins="0"/>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85195-DBDF-404A-B024-C3A9FEE054C2}">
  <sheetPr codeName="Sheet14"/>
  <dimension ref="A1:J6"/>
  <sheetViews>
    <sheetView showGridLines="0" zoomScaleNormal="100" workbookViewId="0"/>
  </sheetViews>
  <sheetFormatPr defaultRowHeight="13.2" x14ac:dyDescent="0.25"/>
  <cols>
    <col min="1" max="1" width="4.6640625" customWidth="1"/>
    <col min="2" max="9" width="11.33203125" customWidth="1"/>
  </cols>
  <sheetData>
    <row r="1" spans="1:10" ht="20.25" customHeight="1" x14ac:dyDescent="0.3">
      <c r="A1" s="590"/>
      <c r="B1" s="1388" t="s">
        <v>243</v>
      </c>
      <c r="C1" s="1388"/>
      <c r="D1" s="1388"/>
      <c r="E1" s="1388"/>
      <c r="F1" s="1388"/>
      <c r="G1" s="1388"/>
      <c r="H1" s="1388"/>
      <c r="I1" s="1388"/>
      <c r="J1" s="590"/>
    </row>
    <row r="2" spans="1:10" ht="20.25" customHeight="1" x14ac:dyDescent="0.25">
      <c r="A2" s="590"/>
      <c r="B2" s="1389" t="s">
        <v>244</v>
      </c>
      <c r="C2" s="1389"/>
      <c r="D2" s="1389"/>
      <c r="E2" s="1389"/>
      <c r="F2" s="1389"/>
      <c r="G2" s="1389"/>
      <c r="H2" s="1389"/>
      <c r="I2" s="1389"/>
      <c r="J2" s="590"/>
    </row>
    <row r="3" spans="1:10" s="398" customFormat="1" ht="20.25" customHeight="1" x14ac:dyDescent="0.25">
      <c r="A3" s="590"/>
      <c r="B3" s="660"/>
      <c r="C3" s="660"/>
      <c r="D3" s="660"/>
      <c r="E3" s="660"/>
      <c r="F3" s="660"/>
      <c r="G3" s="660"/>
      <c r="H3" s="660"/>
      <c r="I3" s="660"/>
      <c r="J3" s="590"/>
    </row>
    <row r="4" spans="1:10" x14ac:dyDescent="0.25">
      <c r="A4" s="590"/>
      <c r="B4" s="590"/>
      <c r="C4" s="590"/>
      <c r="D4" s="590"/>
      <c r="E4" s="590"/>
      <c r="F4" s="590"/>
      <c r="G4" s="590"/>
      <c r="H4" s="590"/>
      <c r="I4" s="590"/>
      <c r="J4" s="590"/>
    </row>
    <row r="5" spans="1:10" ht="26.4" customHeight="1" x14ac:dyDescent="0.25">
      <c r="A5" s="590"/>
      <c r="B5" s="1392" t="str">
        <f>IF(AppendixABody="","The parties did not contest any of the child support calculation factors; therefore, no separate findings are made beyond the figures set forth in the worksheet.","")</f>
        <v>The parties did not contest any of the child support calculation factors; therefore, no separate findings are made beyond the figures set forth in the worksheet.</v>
      </c>
      <c r="C5" s="1393"/>
      <c r="D5" s="1393"/>
      <c r="E5" s="1393"/>
      <c r="F5" s="1393"/>
      <c r="G5" s="1393"/>
      <c r="H5" s="1393"/>
      <c r="I5" s="1393"/>
      <c r="J5" s="590"/>
    </row>
    <row r="6" spans="1:10" ht="409.2" customHeight="1" x14ac:dyDescent="0.25">
      <c r="A6" s="590"/>
      <c r="B6" s="1390" t="str">
        <f xml:space="preserve">
IF(ISBLANK(AppAAttributed),"","ATTRIBUTED SUPPORT INCOME. "&amp;AppAAttributed&amp;CHAR(10)&amp;CHAR(10))&amp;
IF(ISBLANK(AppAIncome),"","CHILD SUPPORT INCOME. "&amp;AppAIncome&amp;CHAR(10)&amp;CHAR(10))&amp;
IF(ISBLANK(AppAAlimony),"","COURT ORDERED SPOUSAL MAINTENANCE. "&amp;AppAAlimony&amp;CHAR(10)&amp;CHAR(10))&amp;
IF(ISBLANK(AppASupport),"","COURT ORDERED CHILD SUPPORT OF OTHER RELATIONSHIPS (ACTUALLY PAID). "&amp;AppASupport&amp;CHAR(10)&amp;CHAR(10))&amp;
IF(ISBLANK(AppASupportOther),"","SUPPORT OF CHILDREN FROM OTHER RELATIONSHIPS. "&amp;AppASupportOther&amp;CHAR(10)&amp;CHAR(10))&amp;
IF(ISBLANK(AppACAGI),"","COMBINED ADJUSTED CHILD SUPPORT INCOME. "&amp;AppACAGI&amp;CHAR(10)&amp;CHAR(10))&amp;
IF(ISBLANK(AppAOver12),"","ADJUSTMENT FOR CHILDREN OVER AGE 12. "&amp;AppAOver12&amp;CHAR(10)&amp;CHAR(10))&amp;
IF(ISBLANK(AppAMedical),"","MEDICAL AND DENTAL INSURANCE PAID. "&amp;AppAMedical&amp;CHAR(10)&amp;CHAR(10))&amp;
IF(ISBLANK(AppAChildCare),"","MONTHLY CHILD CARE COSTS FOR CHILDREN PAID. "&amp;AppAChildCare&amp;CHAR(10)&amp;CHAR(10))&amp;
IF(ISBLANK(AppAEducation),"","EXTRA EDUCATION EXPENSES PAID . "&amp;AppAEducation&amp;CHAR(10)&amp;CHAR(10))&amp;
IF(ISBLANK(AppAExtraordinary),"","EXTRAORDINARY (GIFTED OR SPECIAL NEEDS) CHILD EXPENSES PAID. "&amp;AppAExtraordinary&amp;CHAR(10)&amp;CHAR(10))&amp;
IF(ISBLANK(AppACAGIShare),"","EACH PARENT'S PROPORTIONATE PERCENTAGE OF COMBINED ADJUSTED CHILD SUPPORT INCOME. "&amp;AppACAGIShare&amp;CHAR(10)&amp;CHAR(10))&amp;
IF(ISBLANK(AppAParentingTime),"","PARENTING TIME ADJUSTMENT. "&amp;AppAParentingTime&amp;CHAR(10)&amp;CHAR(10))&amp;
IF(ISBLANK(AppATotalAdjustments),"","TOTAL ADJUSTMENTS TO CHILD SUPPORT OBLIGATION. "&amp;AppATotalAdjustments&amp;CHAR(10)&amp;CHAR(10))&amp;
IF(ISBLANK(AppAObligation),"","PRESUMPTIVE CHILD SUPPORT OBLIGATION. "&amp;AppAObligation&amp;CHAR(10)&amp;CHAR(10))&amp;
IF(ISBLANK(AppASSRT),"","SELF SUPPORT RESERVE TEST. "&amp;AppASSRT&amp;CHAR(10)&amp;CHAR(10))</f>
        <v/>
      </c>
      <c r="C6" s="1391"/>
      <c r="D6" s="1391"/>
      <c r="E6" s="1391"/>
      <c r="F6" s="1391"/>
      <c r="G6" s="1391"/>
      <c r="H6" s="1391"/>
      <c r="I6" s="1391"/>
      <c r="J6" s="590"/>
    </row>
  </sheetData>
  <sheetProtection algorithmName="SHA-512" hashValue="xpLBPBAemQ3xdUYHwbAhlMsAYqsUCA2YlDswjYYQRiK77MK6JT7Hk4kmw6oTgLjiY+3VLVTLk9urBDNKIrXSsg==" saltValue="nSOLVPJABiiuFC3/ucKh4g==" spinCount="100000" sheet="1" objects="1" scenarios="1"/>
  <mergeCells count="4">
    <mergeCell ref="B1:I1"/>
    <mergeCell ref="B2:I2"/>
    <mergeCell ref="B6:I6"/>
    <mergeCell ref="B5:I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R141"/>
  <sheetViews>
    <sheetView showGridLines="0" zoomScaleNormal="100" workbookViewId="0"/>
  </sheetViews>
  <sheetFormatPr defaultRowHeight="13.2" x14ac:dyDescent="0.25"/>
  <cols>
    <col min="1" max="1" width="5.6640625" style="185" customWidth="1"/>
    <col min="2" max="2" width="3.33203125" style="50" customWidth="1"/>
    <col min="3" max="3" width="4.44140625" customWidth="1"/>
    <col min="4" max="4" width="4.6640625" customWidth="1"/>
    <col min="5" max="5" width="4.5546875" customWidth="1"/>
    <col min="6" max="6" width="2.33203125" customWidth="1"/>
    <col min="7" max="7" width="4.33203125" customWidth="1"/>
    <col min="8" max="8" width="3.6640625" customWidth="1"/>
    <col min="9" max="9" width="4" customWidth="1"/>
    <col min="10" max="10" width="4.6640625" customWidth="1"/>
    <col min="11" max="11" width="4" customWidth="1"/>
    <col min="12" max="13" width="11.6640625" customWidth="1"/>
    <col min="14" max="14" width="10.6640625" customWidth="1"/>
    <col min="15" max="15" width="11.33203125" customWidth="1"/>
    <col min="16" max="16" width="9.44140625" customWidth="1"/>
    <col min="17" max="17" width="55.33203125" customWidth="1"/>
    <col min="18" max="20" width="44" customWidth="1"/>
    <col min="21" max="50" width="3.6640625" customWidth="1"/>
  </cols>
  <sheetData>
    <row r="1" spans="1:18" ht="20.25" customHeight="1" x14ac:dyDescent="0.3">
      <c r="A1" s="654"/>
      <c r="B1" s="1416" t="s">
        <v>245</v>
      </c>
      <c r="C1" s="1395"/>
      <c r="D1" s="1395"/>
      <c r="E1" s="1395"/>
      <c r="F1" s="1395"/>
      <c r="G1" s="1395"/>
      <c r="H1" s="1395"/>
      <c r="I1" s="1395"/>
      <c r="J1" s="1395"/>
      <c r="K1" s="1395"/>
      <c r="L1" s="1395"/>
      <c r="M1" s="1395"/>
      <c r="N1" s="1395"/>
      <c r="O1" s="1395"/>
      <c r="P1" s="1395"/>
      <c r="Q1" s="590"/>
      <c r="R1" s="592"/>
    </row>
    <row r="2" spans="1:18" ht="17.25" customHeight="1" x14ac:dyDescent="0.3">
      <c r="A2" s="654"/>
      <c r="B2" s="1416" t="str">
        <f>UPPER(County!D2)&amp;" COUNTY"</f>
        <v>MARICOPA COUNTY</v>
      </c>
      <c r="C2" s="1395"/>
      <c r="D2" s="1395"/>
      <c r="E2" s="1395"/>
      <c r="F2" s="1395"/>
      <c r="G2" s="1395"/>
      <c r="H2" s="1395"/>
      <c r="I2" s="1395"/>
      <c r="J2" s="1395"/>
      <c r="K2" s="1395"/>
      <c r="L2" s="1395"/>
      <c r="M2" s="1395"/>
      <c r="N2" s="1395"/>
      <c r="O2" s="1395"/>
      <c r="P2" s="1395"/>
      <c r="Q2" s="590"/>
      <c r="R2" s="592"/>
    </row>
    <row r="3" spans="1:18" ht="12.75" customHeight="1" x14ac:dyDescent="0.3">
      <c r="A3" s="654"/>
      <c r="B3" s="141"/>
      <c r="C3" s="685"/>
      <c r="D3" s="661"/>
      <c r="E3" s="661"/>
      <c r="F3" s="661"/>
      <c r="G3" s="661"/>
      <c r="H3" s="661"/>
      <c r="I3" s="661"/>
      <c r="J3" s="661"/>
      <c r="K3" s="661"/>
      <c r="L3" s="593"/>
      <c r="M3" s="593"/>
      <c r="N3" s="593"/>
      <c r="O3" s="593"/>
      <c r="P3" s="593"/>
      <c r="Q3" s="590"/>
      <c r="R3" s="592"/>
    </row>
    <row r="4" spans="1:18" ht="30.75" customHeight="1" x14ac:dyDescent="0.25">
      <c r="A4" s="654"/>
      <c r="B4" s="1394" t="str">
        <f>PetitionerCaptionPrefix</f>
        <v/>
      </c>
      <c r="C4" s="1394"/>
      <c r="D4" s="1394"/>
      <c r="E4" s="1394"/>
      <c r="F4" s="1394"/>
      <c r="G4" s="1394"/>
      <c r="H4" s="1394"/>
      <c r="I4" s="1394"/>
      <c r="J4" s="1394"/>
      <c r="K4" s="1394"/>
      <c r="L4" s="784" t="str">
        <f>IF(NOT(ISBLANK(Worksheet!C35)),")","")</f>
        <v/>
      </c>
      <c r="M4" s="593"/>
      <c r="N4" s="593"/>
      <c r="O4" s="593"/>
      <c r="P4" s="593"/>
      <c r="Q4" s="590"/>
      <c r="R4" s="592"/>
    </row>
    <row r="5" spans="1:18" ht="15" customHeight="1" x14ac:dyDescent="0.3">
      <c r="A5" s="654"/>
      <c r="B5" s="1417" t="str">
        <f>PetitionerCaption</f>
        <v/>
      </c>
      <c r="C5" s="1399"/>
      <c r="D5" s="1399"/>
      <c r="E5" s="1399"/>
      <c r="F5" s="1399"/>
      <c r="G5" s="1399"/>
      <c r="H5" s="1399"/>
      <c r="I5" s="1399"/>
      <c r="J5" s="1399"/>
      <c r="K5" s="1399"/>
      <c r="L5" s="593" t="s">
        <v>246</v>
      </c>
      <c r="M5" s="1420" t="s">
        <v>247</v>
      </c>
      <c r="N5" s="1425" t="str">
        <f>CaseNumber</f>
        <v/>
      </c>
      <c r="O5" s="1424"/>
      <c r="P5" s="1424"/>
      <c r="Q5" s="590"/>
      <c r="R5" s="592"/>
    </row>
    <row r="6" spans="1:18" ht="12.75" customHeight="1" x14ac:dyDescent="0.25">
      <c r="A6" s="654"/>
      <c r="B6" s="1430" t="s">
        <v>37</v>
      </c>
      <c r="C6" s="1430"/>
      <c r="D6" s="1430"/>
      <c r="E6" s="1430"/>
      <c r="F6" s="1430"/>
      <c r="G6" s="1430"/>
      <c r="H6" s="1430"/>
      <c r="I6" s="1430"/>
      <c r="J6" s="1430"/>
      <c r="K6" s="1430"/>
      <c r="L6" s="648" t="s">
        <v>246</v>
      </c>
      <c r="M6" s="1420"/>
      <c r="N6" s="1426"/>
      <c r="O6" s="1426"/>
      <c r="P6" s="1426"/>
      <c r="Q6" s="590"/>
      <c r="R6" s="592"/>
    </row>
    <row r="7" spans="1:18" ht="12.75" customHeight="1" x14ac:dyDescent="0.25">
      <c r="A7" s="654"/>
      <c r="B7" s="1178" t="s">
        <v>248</v>
      </c>
      <c r="C7" s="1395"/>
      <c r="D7" s="1395"/>
      <c r="E7" s="1395"/>
      <c r="F7" s="1395"/>
      <c r="G7" s="1395"/>
      <c r="H7" s="1395"/>
      <c r="I7" s="1395"/>
      <c r="J7" s="1395"/>
      <c r="K7" s="1395"/>
      <c r="L7" s="593" t="s">
        <v>246</v>
      </c>
      <c r="M7" s="1421" t="s">
        <v>249</v>
      </c>
      <c r="N7" s="1427" t="str">
        <f>IF(ISBLANK(Worksheet!I293),"",Worksheet!I293)</f>
        <v/>
      </c>
      <c r="O7" s="1428"/>
      <c r="P7" s="1428"/>
      <c r="Q7" s="613"/>
      <c r="R7" s="610"/>
    </row>
    <row r="8" spans="1:18" ht="12.75" customHeight="1" x14ac:dyDescent="0.25">
      <c r="A8" s="654"/>
      <c r="B8" s="1178"/>
      <c r="C8" s="1395"/>
      <c r="D8" s="1395"/>
      <c r="E8" s="1395"/>
      <c r="F8" s="1395"/>
      <c r="G8" s="1395"/>
      <c r="H8" s="1395"/>
      <c r="I8" s="1395"/>
      <c r="J8" s="1395"/>
      <c r="K8" s="1395"/>
      <c r="L8" s="593" t="s">
        <v>246</v>
      </c>
      <c r="M8" s="1422"/>
      <c r="N8" s="1429"/>
      <c r="O8" s="1429"/>
      <c r="P8" s="1429"/>
      <c r="Q8" s="613"/>
      <c r="R8" s="610"/>
    </row>
    <row r="9" spans="1:18" ht="12.75" customHeight="1" x14ac:dyDescent="0.25">
      <c r="A9" s="654"/>
      <c r="B9" s="1418" t="str">
        <f>IF(NOT(ISBLANK(Worksheet!B43)),Worksheet!B43,"")</f>
        <v/>
      </c>
      <c r="C9" s="1395"/>
      <c r="D9" s="1395"/>
      <c r="E9" s="1395"/>
      <c r="F9" s="1395"/>
      <c r="G9" s="1395"/>
      <c r="H9" s="1395"/>
      <c r="I9" s="1395"/>
      <c r="J9" s="1395"/>
      <c r="K9" s="1395"/>
      <c r="L9" s="783" t="s">
        <v>246</v>
      </c>
      <c r="M9" s="593"/>
      <c r="N9" s="593"/>
      <c r="O9" s="593"/>
      <c r="P9" s="593"/>
      <c r="Q9" s="590"/>
      <c r="R9" s="592"/>
    </row>
    <row r="10" spans="1:18" ht="12.75" customHeight="1" x14ac:dyDescent="0.25">
      <c r="A10" s="654"/>
      <c r="B10" s="1395"/>
      <c r="C10" s="1395"/>
      <c r="D10" s="1395"/>
      <c r="E10" s="1395"/>
      <c r="F10" s="1395"/>
      <c r="G10" s="1395"/>
      <c r="H10" s="1395"/>
      <c r="I10" s="1395"/>
      <c r="J10" s="1395"/>
      <c r="K10" s="1395"/>
      <c r="L10" s="783" t="s">
        <v>246</v>
      </c>
      <c r="M10" s="593"/>
      <c r="N10" s="593"/>
      <c r="O10" s="654"/>
      <c r="P10" s="593"/>
      <c r="Q10" s="590"/>
      <c r="R10" s="592"/>
    </row>
    <row r="11" spans="1:18" ht="12.75" customHeight="1" x14ac:dyDescent="0.25">
      <c r="A11" s="654"/>
      <c r="B11" s="1399"/>
      <c r="C11" s="1399"/>
      <c r="D11" s="1399"/>
      <c r="E11" s="1399"/>
      <c r="F11" s="1399"/>
      <c r="G11" s="1399"/>
      <c r="H11" s="1399"/>
      <c r="I11" s="1399"/>
      <c r="J11" s="1399"/>
      <c r="K11" s="1399"/>
      <c r="L11" s="783" t="s">
        <v>246</v>
      </c>
      <c r="M11" s="1423" t="s">
        <v>250</v>
      </c>
      <c r="N11" s="1424"/>
      <c r="O11" s="1424"/>
      <c r="P11" s="1424"/>
      <c r="Q11" s="590"/>
      <c r="R11" s="592"/>
    </row>
    <row r="12" spans="1:18" ht="12.75" customHeight="1" x14ac:dyDescent="0.25">
      <c r="A12" s="654"/>
      <c r="B12" s="1430" t="s">
        <v>42</v>
      </c>
      <c r="C12" s="1430"/>
      <c r="D12" s="1430"/>
      <c r="E12" s="1430"/>
      <c r="F12" s="1430"/>
      <c r="G12" s="1430"/>
      <c r="H12" s="1430"/>
      <c r="I12" s="1430"/>
      <c r="J12" s="1430"/>
      <c r="K12" s="1430"/>
      <c r="L12" s="783" t="s">
        <v>246</v>
      </c>
      <c r="M12" s="1424"/>
      <c r="N12" s="1424"/>
      <c r="O12" s="1424"/>
      <c r="P12" s="1424"/>
      <c r="Q12" s="590"/>
      <c r="R12" s="592"/>
    </row>
    <row r="13" spans="1:18" ht="12.75" customHeight="1" x14ac:dyDescent="0.25">
      <c r="A13" s="654"/>
      <c r="B13" s="1419"/>
      <c r="C13" s="1399"/>
      <c r="D13" s="1399"/>
      <c r="E13" s="1399"/>
      <c r="F13" s="1399"/>
      <c r="G13" s="1399"/>
      <c r="H13" s="1399"/>
      <c r="I13" s="1399"/>
      <c r="J13" s="1399"/>
      <c r="K13" s="1399"/>
      <c r="L13" s="783" t="s">
        <v>246</v>
      </c>
      <c r="M13" s="593"/>
      <c r="N13" s="593"/>
      <c r="O13" s="593"/>
      <c r="P13" s="593"/>
      <c r="Q13" s="590"/>
      <c r="R13" s="592"/>
    </row>
    <row r="14" spans="1:18" ht="12.75" customHeight="1" x14ac:dyDescent="0.25">
      <c r="A14" s="654"/>
      <c r="B14" s="142"/>
      <c r="C14" s="654"/>
      <c r="D14" s="143"/>
      <c r="E14" s="143"/>
      <c r="F14" s="654"/>
      <c r="G14" s="654"/>
      <c r="H14" s="654"/>
      <c r="I14" s="654"/>
      <c r="J14" s="654"/>
      <c r="K14" s="654"/>
      <c r="L14" s="654"/>
      <c r="M14" s="593"/>
      <c r="N14" s="593"/>
      <c r="O14" s="593"/>
      <c r="P14" s="593"/>
      <c r="Q14" s="590"/>
      <c r="R14" s="592"/>
    </row>
    <row r="15" spans="1:18" ht="12.75" customHeight="1" x14ac:dyDescent="0.25">
      <c r="A15" s="654"/>
      <c r="B15" s="1394" t="s">
        <v>251</v>
      </c>
      <c r="C15" s="1395"/>
      <c r="D15" s="1395"/>
      <c r="E15" s="1395"/>
      <c r="F15" s="1395"/>
      <c r="G15" s="1395"/>
      <c r="H15" s="1395"/>
      <c r="I15" s="1395"/>
      <c r="J15" s="1395"/>
      <c r="K15" s="1395"/>
      <c r="L15" s="593"/>
      <c r="M15" s="593"/>
      <c r="N15" s="593"/>
      <c r="O15" s="593"/>
      <c r="P15" s="593"/>
      <c r="Q15" s="590"/>
      <c r="R15" s="592"/>
    </row>
    <row r="16" spans="1:18" ht="12.75" customHeight="1" x14ac:dyDescent="0.25">
      <c r="A16" s="654"/>
      <c r="B16" s="141"/>
      <c r="C16" s="593"/>
      <c r="D16" s="143"/>
      <c r="E16" s="143"/>
      <c r="F16" s="593"/>
      <c r="G16" s="593"/>
      <c r="H16" s="593"/>
      <c r="I16" s="593"/>
      <c r="J16" s="593"/>
      <c r="K16" s="593"/>
      <c r="L16" s="593"/>
      <c r="M16" s="593"/>
      <c r="N16" s="593"/>
      <c r="O16" s="593"/>
      <c r="P16" s="593"/>
      <c r="Q16" s="590"/>
      <c r="R16" s="592"/>
    </row>
    <row r="17" spans="1:17" ht="25.5" customHeight="1" x14ac:dyDescent="0.25">
      <c r="A17" s="654"/>
      <c r="B17" s="144" t="s">
        <v>252</v>
      </c>
      <c r="C17" s="1397" t="str">
        <f>IF(OR(Petitioner="",Respondent=""),"_________________ and _______________",Petitioner&amp;" (hereafter called ""Parent A"") and "&amp;Respondent&amp;" (hereafter called ""Parent B"")")&amp;", owe a duty to support the following "&amp;ChildChildren&amp;":"</f>
        <v>_________________ and _______________, owe a duty to support the following children:</v>
      </c>
      <c r="D17" s="1395"/>
      <c r="E17" s="1395"/>
      <c r="F17" s="1395"/>
      <c r="G17" s="1395"/>
      <c r="H17" s="1395"/>
      <c r="I17" s="1395"/>
      <c r="J17" s="1395"/>
      <c r="K17" s="1395"/>
      <c r="L17" s="1395"/>
      <c r="M17" s="1395"/>
      <c r="N17" s="1395"/>
      <c r="O17" s="1395"/>
      <c r="P17" s="1395"/>
      <c r="Q17" s="590"/>
    </row>
    <row r="18" spans="1:17" ht="12.75" customHeight="1" x14ac:dyDescent="0.25">
      <c r="A18" s="654"/>
      <c r="B18" s="141"/>
      <c r="C18" s="593"/>
      <c r="D18" s="1396" t="s">
        <v>253</v>
      </c>
      <c r="E18" s="1393"/>
      <c r="F18" s="1393"/>
      <c r="G18" s="1393"/>
      <c r="H18" s="593"/>
      <c r="I18" s="593"/>
      <c r="J18" s="593"/>
      <c r="K18" s="593"/>
      <c r="L18" s="145" t="str">
        <f>IF(OR(AND(ISBLANK(Worksheet!M18),ISNUMBER(Worksheet!S18)),AND(ISBLANK(Worksheet!M19),ISNUMBER(Worksheet!S19)),AND(ISBLANK(Worksheet!M20),ISNUMBER(Worksheet!S20)),AND(ISBLANK(Worksheet!M21),ISNUMBER(Worksheet!S21)),AND(ISBLANK(Worksheet!M22),ISNUMBER(Worksheet!S22)),AND(ISBLANK(Worksheet!M23),ISNUMBER(Worksheet!S23))),"Age","")</f>
        <v/>
      </c>
      <c r="M18" s="1403" t="s">
        <v>18</v>
      </c>
      <c r="N18" s="886"/>
      <c r="O18" s="654"/>
      <c r="P18" s="654"/>
      <c r="Q18" s="590"/>
    </row>
    <row r="19" spans="1:17" ht="12.75" customHeight="1" x14ac:dyDescent="0.25">
      <c r="A19" s="654"/>
      <c r="B19" s="141"/>
      <c r="C19" s="593"/>
      <c r="D19" s="1414" t="str">
        <f>IF(NOT(ISBLANK(Worksheet!F18)),Worksheet!F18,"")</f>
        <v/>
      </c>
      <c r="E19" s="1414"/>
      <c r="F19" s="1414"/>
      <c r="G19" s="1414"/>
      <c r="H19" s="1414"/>
      <c r="I19" s="1414"/>
      <c r="J19" s="1414"/>
      <c r="K19" s="593"/>
      <c r="L19" s="793" t="str">
        <f>IF(AND(ISBLANK(Worksheet!M18),ISNUMBER(Worksheet!S18)),Worksheet!S18,"")</f>
        <v/>
      </c>
      <c r="M19" s="1398" t="str">
        <f>IF(ISBLANK(Worksheet!M18),"",Worksheet!M18)</f>
        <v/>
      </c>
      <c r="N19" s="1399"/>
      <c r="O19" s="593"/>
      <c r="P19" s="593"/>
      <c r="Q19" s="590"/>
    </row>
    <row r="20" spans="1:17" ht="12.75" customHeight="1" x14ac:dyDescent="0.25">
      <c r="A20" s="654"/>
      <c r="B20" s="141"/>
      <c r="C20" s="593"/>
      <c r="D20" s="1414" t="str">
        <f>IF(NOT(ISBLANK(Worksheet!F19)),Worksheet!F19,"")</f>
        <v/>
      </c>
      <c r="E20" s="1414"/>
      <c r="F20" s="1414"/>
      <c r="G20" s="1414"/>
      <c r="H20" s="1414"/>
      <c r="I20" s="1414"/>
      <c r="J20" s="1414"/>
      <c r="K20" s="593"/>
      <c r="L20" s="793" t="str">
        <f>IF(AND(ISBLANK(Worksheet!M19),ISNUMBER(Worksheet!S19)),Worksheet!S19,"")</f>
        <v/>
      </c>
      <c r="M20" s="1398" t="str">
        <f>IF(ISBLANK(Worksheet!M19),"",Worksheet!M19)</f>
        <v/>
      </c>
      <c r="N20" s="1399"/>
      <c r="O20" s="593"/>
      <c r="P20" s="593"/>
      <c r="Q20" s="590"/>
    </row>
    <row r="21" spans="1:17" ht="12.75" customHeight="1" x14ac:dyDescent="0.25">
      <c r="A21" s="654"/>
      <c r="B21" s="141"/>
      <c r="C21" s="593"/>
      <c r="D21" s="1414" t="str">
        <f>IF(NOT(ISBLANK(Worksheet!F20)),Worksheet!F20,"")</f>
        <v/>
      </c>
      <c r="E21" s="1414"/>
      <c r="F21" s="1414"/>
      <c r="G21" s="1414"/>
      <c r="H21" s="1414"/>
      <c r="I21" s="1414"/>
      <c r="J21" s="1414"/>
      <c r="K21" s="593"/>
      <c r="L21" s="793" t="str">
        <f>IF(AND(ISBLANK(Worksheet!M20),ISNUMBER(Worksheet!S20)),Worksheet!S20,"")</f>
        <v/>
      </c>
      <c r="M21" s="1398" t="str">
        <f>IF(ISBLANK(Worksheet!M20),"",Worksheet!M20)</f>
        <v/>
      </c>
      <c r="N21" s="1399"/>
      <c r="O21" s="593"/>
      <c r="P21" s="593"/>
      <c r="Q21" s="590"/>
    </row>
    <row r="22" spans="1:17" ht="12.75" customHeight="1" x14ac:dyDescent="0.25">
      <c r="A22" s="654"/>
      <c r="B22" s="141"/>
      <c r="C22" s="593"/>
      <c r="D22" s="1414" t="str">
        <f>IF(NOT(ISBLANK(Worksheet!F21)),Worksheet!F21,"")</f>
        <v/>
      </c>
      <c r="E22" s="1414"/>
      <c r="F22" s="1414"/>
      <c r="G22" s="1414"/>
      <c r="H22" s="1414"/>
      <c r="I22" s="1414"/>
      <c r="J22" s="1414"/>
      <c r="K22" s="593"/>
      <c r="L22" s="793" t="str">
        <f>IF(AND(ISBLANK(Worksheet!M21),ISNUMBER(Worksheet!S21)),Worksheet!S21,"")</f>
        <v/>
      </c>
      <c r="M22" s="1398" t="str">
        <f>IF(ISBLANK(Worksheet!M21),"",Worksheet!M21)</f>
        <v/>
      </c>
      <c r="N22" s="1399"/>
      <c r="O22" s="593"/>
      <c r="P22" s="593"/>
      <c r="Q22" s="590"/>
    </row>
    <row r="23" spans="1:17" ht="12.75" customHeight="1" x14ac:dyDescent="0.25">
      <c r="A23" s="654"/>
      <c r="B23" s="141"/>
      <c r="C23" s="593"/>
      <c r="D23" s="1414" t="str">
        <f>IF(NOT(ISBLANK(Worksheet!F22)),Worksheet!F22,"")</f>
        <v/>
      </c>
      <c r="E23" s="1414"/>
      <c r="F23" s="1414"/>
      <c r="G23" s="1414"/>
      <c r="H23" s="1414"/>
      <c r="I23" s="1414"/>
      <c r="J23" s="1414"/>
      <c r="K23" s="593"/>
      <c r="L23" s="793" t="str">
        <f>IF(AND(ISBLANK(Worksheet!M22),ISNUMBER(Worksheet!S22)),Worksheet!S22,"")</f>
        <v/>
      </c>
      <c r="M23" s="1398" t="str">
        <f>IF(ISBLANK(Worksheet!M22),"",Worksheet!M22)</f>
        <v/>
      </c>
      <c r="N23" s="1399"/>
      <c r="O23" s="593"/>
      <c r="P23" s="593"/>
      <c r="Q23" s="590"/>
    </row>
    <row r="24" spans="1:17" ht="12.75" customHeight="1" x14ac:dyDescent="0.25">
      <c r="A24" s="654"/>
      <c r="B24" s="141"/>
      <c r="C24" s="593"/>
      <c r="D24" s="1414" t="str">
        <f>IF(NOT(ISBLANK(Worksheet!F23)),Worksheet!F23,"")</f>
        <v/>
      </c>
      <c r="E24" s="1414"/>
      <c r="F24" s="1414"/>
      <c r="G24" s="1414"/>
      <c r="H24" s="1414"/>
      <c r="I24" s="1414"/>
      <c r="J24" s="1414"/>
      <c r="K24" s="593"/>
      <c r="L24" s="793" t="str">
        <f>IF(AND(ISBLANK(Worksheet!M23),ISNUMBER(Worksheet!S23)),Worksheet!S23,"")</f>
        <v/>
      </c>
      <c r="M24" s="1398" t="str">
        <f>IF(ISBLANK(Worksheet!M23),"",Worksheet!M23)</f>
        <v/>
      </c>
      <c r="N24" s="1399"/>
      <c r="O24" s="593"/>
      <c r="P24" s="593"/>
      <c r="Q24" s="590"/>
    </row>
    <row r="25" spans="1:17" ht="12.75" customHeight="1" x14ac:dyDescent="0.25">
      <c r="A25" s="654"/>
      <c r="B25" s="1404"/>
      <c r="C25" s="1405"/>
      <c r="D25" s="1405"/>
      <c r="E25" s="1405"/>
      <c r="F25" s="1405"/>
      <c r="G25" s="1405"/>
      <c r="H25" s="1405"/>
      <c r="I25" s="1405"/>
      <c r="J25" s="1405"/>
      <c r="K25" s="1405"/>
      <c r="L25" s="593"/>
      <c r="M25" s="593"/>
      <c r="N25" s="593"/>
      <c r="O25" s="593"/>
      <c r="P25" s="593"/>
      <c r="Q25" s="590"/>
    </row>
    <row r="26" spans="1:17" ht="38.25" customHeight="1" x14ac:dyDescent="0.25">
      <c r="A26" s="654"/>
      <c r="B26" s="183" t="s">
        <v>254</v>
      </c>
      <c r="C26" s="1406" t="s">
        <v>255</v>
      </c>
      <c r="D26" s="1395"/>
      <c r="E26" s="1395"/>
      <c r="F26" s="1395"/>
      <c r="G26" s="1395"/>
      <c r="H26" s="1395"/>
      <c r="I26" s="1395"/>
      <c r="J26" s="1395"/>
      <c r="K26" s="1395"/>
      <c r="L26" s="1395"/>
      <c r="M26" s="1395"/>
      <c r="N26" s="1395"/>
      <c r="O26" s="1395"/>
      <c r="P26" s="1395"/>
      <c r="Q26" s="590"/>
    </row>
    <row r="27" spans="1:17" x14ac:dyDescent="0.25">
      <c r="A27" s="654"/>
      <c r="B27" s="141"/>
      <c r="C27" s="593"/>
      <c r="D27" s="593"/>
      <c r="E27" s="593"/>
      <c r="F27" s="593"/>
      <c r="G27" s="593"/>
      <c r="H27" s="593"/>
      <c r="I27" s="593"/>
      <c r="J27" s="593"/>
      <c r="K27" s="593"/>
      <c r="L27" s="593"/>
      <c r="M27" s="593"/>
      <c r="N27" s="593"/>
      <c r="O27" s="593"/>
      <c r="P27" s="593"/>
      <c r="Q27" s="590"/>
    </row>
    <row r="28" spans="1:17" s="401" customFormat="1" x14ac:dyDescent="0.25">
      <c r="A28" s="654"/>
      <c r="B28" s="678" t="s">
        <v>256</v>
      </c>
      <c r="C28" s="1400" t="s">
        <v>257</v>
      </c>
      <c r="D28" s="1401"/>
      <c r="E28" s="1401"/>
      <c r="F28" s="1401"/>
      <c r="G28" s="1401"/>
      <c r="H28" s="1401"/>
      <c r="I28" s="1401"/>
      <c r="J28" s="1401"/>
      <c r="K28" s="1401"/>
      <c r="L28" s="1401"/>
      <c r="M28" s="1401"/>
      <c r="N28" s="1401"/>
      <c r="O28" s="1401"/>
      <c r="P28" s="1401"/>
      <c r="Q28" s="692"/>
    </row>
    <row r="29" spans="1:17" s="398" customFormat="1" x14ac:dyDescent="0.25">
      <c r="A29" s="654"/>
      <c r="B29" s="141"/>
      <c r="C29" s="593"/>
      <c r="D29" s="593"/>
      <c r="E29" s="593"/>
      <c r="F29" s="593"/>
      <c r="G29" s="593"/>
      <c r="H29" s="593"/>
      <c r="I29" s="593"/>
      <c r="J29" s="593"/>
      <c r="K29" s="593"/>
      <c r="L29" s="593"/>
      <c r="M29" s="593"/>
      <c r="N29" s="593"/>
      <c r="O29" s="593"/>
      <c r="P29" s="593"/>
      <c r="Q29" s="590"/>
    </row>
    <row r="30" spans="1:17" ht="12.75" customHeight="1" x14ac:dyDescent="0.25">
      <c r="A30" s="654"/>
      <c r="B30" s="678" t="s">
        <v>258</v>
      </c>
      <c r="C30" s="1406" t="s">
        <v>259</v>
      </c>
      <c r="D30" s="1413"/>
      <c r="E30" s="1413"/>
      <c r="F30" s="1407" t="str">
        <f>"  "&amp;IF(Obligor="the obligor","______",Obligor)&amp;" is obligated to pay child support to "&amp;IF(Obligee="the obligee","______",Obligee)&amp;" pursuant to the Arizona Child Support"</f>
        <v xml:space="preserve">  ______ is obligated to pay child support to ______ pursuant to the Arizona Child Support</v>
      </c>
      <c r="G30" s="1413"/>
      <c r="H30" s="1413"/>
      <c r="I30" s="1413"/>
      <c r="J30" s="1413"/>
      <c r="K30" s="1413"/>
      <c r="L30" s="1413"/>
      <c r="M30" s="1413"/>
      <c r="N30" s="1413"/>
      <c r="O30" s="1413"/>
      <c r="P30" s="1413"/>
      <c r="Q30" s="590"/>
    </row>
    <row r="31" spans="1:17" s="137" customFormat="1" ht="12.75" customHeight="1" x14ac:dyDescent="0.25">
      <c r="A31" s="654"/>
      <c r="B31" s="183"/>
      <c r="C31" s="1407" t="str">
        <f>"Guidelines in the amount of"</f>
        <v>Guidelines in the amount of</v>
      </c>
      <c r="D31" s="1395"/>
      <c r="E31" s="1395"/>
      <c r="F31" s="1395"/>
      <c r="G31" s="1395"/>
      <c r="H31" s="1395"/>
      <c r="I31" s="1408" t="str">
        <f>IF(Obligor="Parent A",TEXT(Worksheet!U80,"$ #,###.00"),IF(Obligor="Parent B",TEXT(Worksheet!Y80,"$#,###.00"),"$___________ ."))</f>
        <v>$___________ .</v>
      </c>
      <c r="J31" s="1409"/>
      <c r="K31" s="1409"/>
      <c r="L31" s="1407" t="str">
        <f>IF(OR(NOT(ISBLANK(Worksheet!G98)),NOT(ISBLANK(Worksheet!G99)))," per month.  Application of the child support guidelines in this",IF(AND(ISNUMBER(Worksheet!S96),Worksheet!G97="x")," per month. This amount is an appropriate amount to award for"," per month."))</f>
        <v xml:space="preserve"> per month.</v>
      </c>
      <c r="M31" s="1395"/>
      <c r="N31" s="1395"/>
      <c r="O31" s="1395"/>
      <c r="P31" s="1395"/>
      <c r="Q31" s="590"/>
    </row>
    <row r="32" spans="1:17" s="137" customFormat="1" ht="12.75" customHeight="1" x14ac:dyDescent="0.25">
      <c r="A32" s="654"/>
      <c r="B32" s="183"/>
      <c r="C32" s="1410" t="str">
        <f>IF(OR(NOT(ISBLANK(Worksheet!G98)),NOT(ISBLANK(Worksheet!G99))),"case is inappropriate or unjust.  The Court has considered the best interests of the "&amp;ChildChildren&amp;" in determining",IF(AND(ISNUMBER(Worksheet!S96),Worksheet!G97="x"),"child support in this case excepting that the Court finds it more appropriate and just to make a de minimus",""))</f>
        <v/>
      </c>
      <c r="D32" s="1395"/>
      <c r="E32" s="1395"/>
      <c r="F32" s="1395"/>
      <c r="G32" s="1395"/>
      <c r="H32" s="1395"/>
      <c r="I32" s="1395"/>
      <c r="J32" s="1395"/>
      <c r="K32" s="1395"/>
      <c r="L32" s="1395"/>
      <c r="M32" s="1395"/>
      <c r="N32" s="1395"/>
      <c r="O32" s="1395"/>
      <c r="P32" s="1395"/>
      <c r="Q32" s="590"/>
    </row>
    <row r="33" spans="1:17" ht="12.75" customHeight="1" x14ac:dyDescent="0.25">
      <c r="A33" s="654"/>
      <c r="B33" s="142"/>
      <c r="C33" s="1410" t="str">
        <f>IF(OR(NOT(ISBLANK(Worksheet!G98)),NOT(ISBLANK(Worksheet!G99))),"that a deviation is appropriate.  After deviation the child support order is ",IF(AND(ISNUMBER(Worksheet!S96),Worksheet!G97="x"),"adjustment to the exact Guidelines amount for ease of calculation to ",""))</f>
        <v/>
      </c>
      <c r="D33" s="1395"/>
      <c r="E33" s="1395"/>
      <c r="F33" s="1395"/>
      <c r="G33" s="1395"/>
      <c r="H33" s="1395"/>
      <c r="I33" s="1395"/>
      <c r="J33" s="1395"/>
      <c r="K33" s="1395"/>
      <c r="L33" s="1395"/>
      <c r="M33" s="1395"/>
      <c r="N33" s="580" t="str">
        <f>IF(OR(NOT(ISBLANK(Worksheet!G98)),NOT(ISBLANK(Worksheet!G99)),ISNUMBER(Worksheet!S96)),Worksheet!H102,"")</f>
        <v/>
      </c>
      <c r="O33" s="1411" t="str">
        <f>IF(OR(AND(ISNUMBER(Worksheet!S96),Worksheet!G97="x"),NOT(ISBLANK(Worksheet!G98)),NOT(ISBLANK(Worksheet!G99)))," per month.","")</f>
        <v/>
      </c>
      <c r="P33" s="1395"/>
      <c r="Q33" s="590"/>
    </row>
    <row r="34" spans="1:17" ht="60.75" customHeight="1" x14ac:dyDescent="0.25">
      <c r="A34" s="654"/>
      <c r="B34" s="142"/>
      <c r="C34" s="1412" t="str">
        <f>IF(NOT(ISBLANK(Worksheet!G98)),"Further, the parties have entered into a written or record agreement free of duress and coercion to deviate with knowledge of the amount of child support that would have been ordered under the guidelines but for the agreement.  "&amp;Worksheet!G100,IF(AND(NOT(ISBLANK(Worksheet!G99)),NOT(ISBLANK(Worksheet!G100))),Worksheet!G100,""))</f>
        <v/>
      </c>
      <c r="D34" s="1405"/>
      <c r="E34" s="1405"/>
      <c r="F34" s="1405"/>
      <c r="G34" s="1405"/>
      <c r="H34" s="1405"/>
      <c r="I34" s="1405"/>
      <c r="J34" s="1405"/>
      <c r="K34" s="1405"/>
      <c r="L34" s="1405"/>
      <c r="M34" s="1405"/>
      <c r="N34" s="1405"/>
      <c r="O34" s="1405"/>
      <c r="P34" s="1405"/>
      <c r="Q34" s="590"/>
    </row>
    <row r="35" spans="1:17" ht="12.75" customHeight="1" x14ac:dyDescent="0.25">
      <c r="A35" s="654"/>
      <c r="B35" s="403" t="s">
        <v>260</v>
      </c>
      <c r="C35" s="1394" t="s">
        <v>261</v>
      </c>
      <c r="D35" s="1395"/>
      <c r="E35" s="950"/>
      <c r="F35" s="950"/>
      <c r="G35" s="1415" t="str">
        <f>IF(ISBLANK(Worksheet!G106),"Arrears not addressed.",IF(Obligor="Parent A","Parent A owes child support arrearages to Parent B in the sum of",IF(Obligor="Parent B","Parent B owes child support arrearages to Parent A in the sum of","No evidence was presented in support of any support arrearage.")))</f>
        <v>Arrears not addressed.</v>
      </c>
      <c r="H35" s="1415"/>
      <c r="I35" s="1415"/>
      <c r="J35" s="1415"/>
      <c r="K35" s="1415"/>
      <c r="L35" s="1415"/>
      <c r="M35" s="1415"/>
      <c r="N35" s="1415"/>
      <c r="O35" s="334" t="str">
        <f>IF(NOT(ISBLANK(Worksheet!G106)),Worksheet!Q106,"")</f>
        <v/>
      </c>
      <c r="P35" s="654" t="str">
        <f>IF(NOT(ISBLANK(Worksheet!G106))," for the ","")</f>
        <v/>
      </c>
      <c r="Q35" s="590"/>
    </row>
    <row r="36" spans="1:17" ht="12.75" customHeight="1" x14ac:dyDescent="0.25">
      <c r="A36" s="654"/>
      <c r="B36" s="142"/>
      <c r="C36" s="1445" t="str">
        <f>IF(NOT(ISBLANK(Worksheet!G106)),"time period from","")</f>
        <v/>
      </c>
      <c r="D36" s="1445"/>
      <c r="E36" s="1445"/>
      <c r="F36" s="1445"/>
      <c r="G36" s="1445"/>
      <c r="H36" s="1402" t="str">
        <f>IF(AND(NOT(ISBLANK(Worksheet!G106)),NOT(ISBLANK(Worksheet!M107))),TEXT(Worksheet!M107,"mmmm d, yyyy"),"")</f>
        <v/>
      </c>
      <c r="I36" s="1402"/>
      <c r="J36" s="1402"/>
      <c r="K36" s="1402"/>
      <c r="L36" s="335" t="str">
        <f>IF(NOT(ISBLANK(Worksheet!G106)),"through","")</f>
        <v/>
      </c>
      <c r="M36" s="1402" t="str">
        <f>IF(AND(NOT(ISBLANK(Worksheet!G106)),NOT(ISBLANK(Worksheet!M107))),TEXT(Worksheet!V107,"mmmm d, yyyy"),"")</f>
        <v/>
      </c>
      <c r="N36" s="1402"/>
      <c r="O36" s="1405" t="str">
        <f>IF(AND(NOT(ISBLANK(Worksheet!G106)),ISNUMBER(Worksheet!M108)),"plus accrued interest on","")</f>
        <v/>
      </c>
      <c r="P36" s="1395"/>
      <c r="Q36" s="590"/>
    </row>
    <row r="37" spans="1:17" s="170" customFormat="1" ht="12.75" customHeight="1" x14ac:dyDescent="0.25">
      <c r="A37" s="654"/>
      <c r="B37" s="142"/>
      <c r="C37" s="952" t="str">
        <f>IF(AND(NOT(ISBLANK(Worksheet!G106)),ISNUMBER(Worksheet!M108)),"prior child support arrearages due of","")</f>
        <v/>
      </c>
      <c r="D37" s="950"/>
      <c r="E37" s="950"/>
      <c r="F37" s="950"/>
      <c r="G37" s="950"/>
      <c r="H37" s="950"/>
      <c r="I37" s="950"/>
      <c r="J37" s="950"/>
      <c r="K37" s="1432" t="str">
        <f>IF(AND(NOT(ISBLANK(Worksheet!G106)),ISNUMBER(Worksheet!M108)),Worksheet!M108,"")</f>
        <v/>
      </c>
      <c r="L37" s="1432"/>
      <c r="M37" s="1433" t="str">
        <f>IF(AND(NOT(ISBLANK(Worksheet!G106)),NOT(ISBLANK(Worksheet!M108)),ISNUMBER(Worksheet!U108)),"calculated thru the date of  ","")</f>
        <v/>
      </c>
      <c r="N37" s="953"/>
      <c r="O37" s="1442" t="str">
        <f>IF(AND(NOT(ISBLANK(Worksheet!G106)),NOT(ISBLANK(Worksheet!M108)),ISNUMBER(Worksheet!U108)),Worksheet!U108,"")</f>
        <v/>
      </c>
      <c r="P37" s="1442"/>
      <c r="Q37" s="590"/>
    </row>
    <row r="38" spans="1:17" ht="12.75" customHeight="1" x14ac:dyDescent="0.25">
      <c r="A38" s="654"/>
      <c r="B38" s="142"/>
      <c r="C38" s="661"/>
      <c r="D38" s="661"/>
      <c r="E38" s="661"/>
      <c r="F38" s="661"/>
      <c r="G38" s="661"/>
      <c r="H38" s="661"/>
      <c r="I38" s="661"/>
      <c r="J38" s="661"/>
      <c r="K38" s="336"/>
      <c r="L38" s="654"/>
      <c r="M38" s="654"/>
      <c r="N38" s="654"/>
      <c r="O38" s="654"/>
      <c r="P38" s="654"/>
      <c r="Q38" s="590"/>
    </row>
    <row r="39" spans="1:17" ht="12.75" customHeight="1" x14ac:dyDescent="0.25">
      <c r="A39" s="654"/>
      <c r="B39" s="403" t="s">
        <v>262</v>
      </c>
      <c r="C39" s="1394" t="s">
        <v>263</v>
      </c>
      <c r="D39" s="1395"/>
      <c r="E39" s="1395"/>
      <c r="F39" s="1393" t="str">
        <f xml:space="preserve"> IF(ISBLANK(Worksheet!G112),"The evidence does not support a judgment for past support.",IF(Obligor="Parent A","It is appropriate to award Parent B an additional judgment for past support in the amount of ",IF(Obligor="Parent B","It is appropriate to award Parent A an additional judgment for past support in the amount of","The evidence does not support a judgment for past support.")))</f>
        <v>The evidence does not support a judgment for past support.</v>
      </c>
      <c r="G39" s="1395"/>
      <c r="H39" s="1395"/>
      <c r="I39" s="1395"/>
      <c r="J39" s="1395"/>
      <c r="K39" s="1395"/>
      <c r="L39" s="1395"/>
      <c r="M39" s="1395"/>
      <c r="N39" s="1395"/>
      <c r="O39" s="1395"/>
      <c r="P39" s="1395"/>
      <c r="Q39" s="590"/>
    </row>
    <row r="40" spans="1:17" ht="12.75" customHeight="1" x14ac:dyDescent="0.25">
      <c r="A40" s="654"/>
      <c r="B40" s="142"/>
      <c r="C40" s="1472" t="str">
        <f>IF(NOT(ISBLANK(Worksheet!G112)),Worksheet!M112,"")</f>
        <v/>
      </c>
      <c r="D40" s="1473"/>
      <c r="E40" s="1473"/>
      <c r="F40" s="950" t="str">
        <f>IF(AND(NOT(ISBLANK(Worksheet!G112)),NOT(ISBLANK(Worksheet!H113)),NOT(ISBLANK(Worksheet!H114))),"as past support for the three-year period prior to filing of the current petition until today.",IF(AND(NOT(ISBLANK(Worksheet!G112)),NOT(ISBLANK(Worksheet!H113))),"for appropriate past support from the date of filing of the current petition until today.",IF(AND(NOT(ISBLANK(Worksheet!G112)),NOT(ISBLANK(Worksheet!H114))),"as past support that includes the three-year period prior to the filing of the current petition.",IF(NOT(ISBLANK(Worksheet!G112)),"for all past support including any period prior to the date of filing of the current petition.",""))))</f>
        <v/>
      </c>
      <c r="G40" s="950"/>
      <c r="H40" s="950"/>
      <c r="I40" s="950"/>
      <c r="J40" s="950"/>
      <c r="K40" s="950"/>
      <c r="L40" s="950"/>
      <c r="M40" s="950"/>
      <c r="N40" s="950"/>
      <c r="O40" s="950"/>
      <c r="P40" s="950"/>
      <c r="Q40" s="590"/>
    </row>
    <row r="41" spans="1:17" ht="12.75" customHeight="1" x14ac:dyDescent="0.25">
      <c r="A41" s="654"/>
      <c r="B41" s="142"/>
      <c r="C41" s="661"/>
      <c r="D41" s="661"/>
      <c r="E41" s="661"/>
      <c r="F41" s="661"/>
      <c r="G41" s="661"/>
      <c r="H41" s="661"/>
      <c r="I41" s="661"/>
      <c r="J41" s="146"/>
      <c r="K41" s="147"/>
      <c r="L41" s="654"/>
      <c r="M41" s="654"/>
      <c r="N41" s="654"/>
      <c r="O41" s="654"/>
      <c r="P41" s="654"/>
      <c r="Q41" s="590"/>
    </row>
    <row r="42" spans="1:17" ht="12.75" customHeight="1" x14ac:dyDescent="0.25">
      <c r="A42" s="654"/>
      <c r="B42" s="1474" t="s">
        <v>264</v>
      </c>
      <c r="C42" s="1474"/>
      <c r="D42" s="1474"/>
      <c r="E42" s="1474"/>
      <c r="F42" s="1474"/>
      <c r="G42" s="1474"/>
      <c r="H42" s="1474"/>
      <c r="I42" s="1474"/>
      <c r="J42" s="1474"/>
      <c r="K42" s="1474"/>
      <c r="L42" s="1474"/>
      <c r="M42" s="1474"/>
      <c r="N42" s="1474"/>
      <c r="O42" s="1474"/>
      <c r="P42" s="1474"/>
      <c r="Q42" s="590"/>
    </row>
    <row r="43" spans="1:17" ht="12.75" customHeight="1" x14ac:dyDescent="0.25">
      <c r="A43" s="654"/>
      <c r="B43" s="142"/>
      <c r="C43" s="661"/>
      <c r="D43" s="661"/>
      <c r="E43" s="661"/>
      <c r="F43" s="661"/>
      <c r="G43" s="661"/>
      <c r="H43" s="661"/>
      <c r="I43" s="661"/>
      <c r="J43" s="661"/>
      <c r="K43" s="661"/>
      <c r="L43" s="654"/>
      <c r="M43" s="654"/>
      <c r="N43" s="654"/>
      <c r="O43" s="654"/>
      <c r="P43" s="654"/>
      <c r="Q43" s="590"/>
    </row>
    <row r="44" spans="1:17" s="138" customFormat="1" ht="12.75" customHeight="1" x14ac:dyDescent="0.25">
      <c r="A44" s="654"/>
      <c r="B44" s="183" t="s">
        <v>252</v>
      </c>
      <c r="C44" s="1406" t="s">
        <v>259</v>
      </c>
      <c r="D44" s="1456"/>
      <c r="E44" s="1456"/>
      <c r="F44" s="1475" t="str">
        <f>IF(Obligor="Parent A","Parent A shall pay child support to Parent B in the sum of  ",IF(Obligor="Parent B","Parent B shall pay child support to Parent A in the sum of  ","_____ shall pay Child Support to _____ in the sum of  "))</f>
        <v xml:space="preserve">_____ shall pay Child Support to _____ in the sum of  </v>
      </c>
      <c r="G44" s="1475"/>
      <c r="H44" s="1475"/>
      <c r="I44" s="1475"/>
      <c r="J44" s="1475"/>
      <c r="K44" s="1475"/>
      <c r="L44" s="1475"/>
      <c r="M44" s="1475"/>
      <c r="N44" s="1475"/>
      <c r="O44" s="581" t="str">
        <f>IF(Obligor="the obligor","",Worksheet!H102)</f>
        <v/>
      </c>
      <c r="P44" s="702" t="s">
        <v>265</v>
      </c>
      <c r="Q44" s="692"/>
    </row>
    <row r="45" spans="1:17" s="137" customFormat="1" ht="12.75" customHeight="1" x14ac:dyDescent="0.25">
      <c r="A45" s="654"/>
      <c r="B45" s="1443" t="s">
        <v>266</v>
      </c>
      <c r="C45" s="1443"/>
      <c r="D45" s="1443"/>
      <c r="E45" s="1443"/>
      <c r="F45" s="1443"/>
      <c r="G45" s="1443"/>
      <c r="H45" s="1443"/>
      <c r="I45" s="1443"/>
      <c r="J45" s="1443"/>
      <c r="K45" s="1443"/>
      <c r="L45" s="1443"/>
      <c r="M45" s="1444">
        <f ca="1">IF(ISNUMBER(Worksheet!N135),Worksheet!N135,"")</f>
        <v>44956</v>
      </c>
      <c r="N45" s="1444"/>
      <c r="O45" s="1441" t="s">
        <v>267</v>
      </c>
      <c r="P45" s="1405"/>
      <c r="Q45" s="590"/>
    </row>
    <row r="46" spans="1:17" ht="12.75" customHeight="1" x14ac:dyDescent="0.25">
      <c r="A46" s="654"/>
      <c r="B46" s="142"/>
      <c r="C46" s="654"/>
      <c r="D46" s="654"/>
      <c r="E46" s="654"/>
      <c r="F46" s="654"/>
      <c r="G46" s="654"/>
      <c r="H46" s="654"/>
      <c r="I46" s="654"/>
      <c r="J46" s="654"/>
      <c r="K46" s="654"/>
      <c r="L46" s="654"/>
      <c r="M46" s="654"/>
      <c r="N46" s="654"/>
      <c r="O46" s="654"/>
      <c r="P46" s="654"/>
      <c r="Q46" s="590"/>
    </row>
    <row r="47" spans="1:17" ht="12.75" customHeight="1" x14ac:dyDescent="0.25">
      <c r="A47" s="654"/>
      <c r="B47" s="142"/>
      <c r="C47" s="654"/>
      <c r="D47" s="654"/>
      <c r="E47" s="654"/>
      <c r="F47" s="148"/>
      <c r="G47" s="148"/>
      <c r="H47" s="654"/>
      <c r="I47" s="654"/>
      <c r="J47" s="654"/>
      <c r="K47" s="654"/>
      <c r="L47" s="654"/>
      <c r="M47" s="654"/>
      <c r="N47" s="654"/>
      <c r="O47" s="654"/>
      <c r="P47" s="654"/>
      <c r="Q47" s="590"/>
    </row>
    <row r="48" spans="1:17" ht="12.75" customHeight="1" x14ac:dyDescent="0.25">
      <c r="A48" s="654"/>
      <c r="B48" s="142"/>
      <c r="C48" s="149"/>
      <c r="D48" s="674"/>
      <c r="E48" s="150"/>
      <c r="F48" s="674"/>
      <c r="G48" s="151"/>
      <c r="H48" s="149"/>
      <c r="I48" s="593"/>
      <c r="J48" s="593"/>
      <c r="K48" s="654"/>
      <c r="L48" s="654"/>
      <c r="M48" s="593"/>
      <c r="N48" s="152" t="s">
        <v>268</v>
      </c>
      <c r="O48" s="1434" t="str">
        <f>CaseNumber</f>
        <v/>
      </c>
      <c r="P48" s="1399"/>
      <c r="Q48" s="590"/>
    </row>
    <row r="49" spans="1:17" x14ac:dyDescent="0.25">
      <c r="A49" s="654"/>
      <c r="B49" s="142"/>
      <c r="C49" s="648"/>
      <c r="D49" s="654"/>
      <c r="E49" s="654"/>
      <c r="F49" s="148"/>
      <c r="G49" s="148"/>
      <c r="H49" s="654"/>
      <c r="I49" s="654"/>
      <c r="J49" s="654"/>
      <c r="K49" s="654"/>
      <c r="L49" s="654"/>
      <c r="M49" s="654"/>
      <c r="N49" s="654"/>
      <c r="O49" s="654"/>
      <c r="P49" s="654"/>
      <c r="Q49" s="590"/>
    </row>
    <row r="50" spans="1:17" x14ac:dyDescent="0.25">
      <c r="A50" s="654"/>
      <c r="B50" s="142" t="s">
        <v>254</v>
      </c>
      <c r="C50" s="1394" t="s">
        <v>269</v>
      </c>
      <c r="D50" s="1178"/>
      <c r="E50" s="1178"/>
      <c r="F50" s="1178"/>
      <c r="G50" s="1178"/>
      <c r="H50" s="1393" t="str">
        <f>IF(ISBLANK(Worksheet!G106),"No additional judgment for child support arrears is entered.",IF(Obligor="Parent A","Parent B is granted judgment against Parent A in the sum of",IF(Obligor="Parent B","Parent A is granted judgment against Parent B in the sum of","_____ is granted judgment against _____ in the amount of")))</f>
        <v>No additional judgment for child support arrears is entered.</v>
      </c>
      <c r="I50" s="1395"/>
      <c r="J50" s="1395"/>
      <c r="K50" s="1395"/>
      <c r="L50" s="1395"/>
      <c r="M50" s="1395"/>
      <c r="N50" s="1395"/>
      <c r="O50" s="337" t="str">
        <f>IF(NOT(ISBLANK(Worksheet!G106)),Worksheet!Q106,"")</f>
        <v/>
      </c>
      <c r="P50" s="654" t="str">
        <f>IF(NOT(ISBLANK(Worksheet!G106))," as and","")</f>
        <v/>
      </c>
      <c r="Q50" s="590"/>
    </row>
    <row r="51" spans="1:17" x14ac:dyDescent="0.25">
      <c r="A51" s="654"/>
      <c r="B51" s="142"/>
      <c r="C51" s="1395" t="str">
        <f>IF(NOT(ISBLANK(Worksheet!G106)),"for child support arrearages for the period of","")</f>
        <v/>
      </c>
      <c r="D51" s="1395"/>
      <c r="E51" s="1395"/>
      <c r="F51" s="1395"/>
      <c r="G51" s="1395"/>
      <c r="H51" s="1395"/>
      <c r="I51" s="1395"/>
      <c r="J51" s="1395"/>
      <c r="K51" s="1395"/>
      <c r="L51" s="1437" t="str">
        <f>IF(NOT(ISBLANK(H36)),H36,"")</f>
        <v/>
      </c>
      <c r="M51" s="1399"/>
      <c r="N51" s="338" t="str">
        <f>IF(NOT(ISBLANK(Worksheet!G106)),"through","")</f>
        <v/>
      </c>
      <c r="O51" s="1471" t="str">
        <f>IF(NOT(ISBLANK(M36)),M36,"")</f>
        <v/>
      </c>
      <c r="P51" s="1399"/>
      <c r="Q51" s="590"/>
    </row>
    <row r="52" spans="1:17" s="163" customFormat="1" x14ac:dyDescent="0.25">
      <c r="A52" s="654"/>
      <c r="B52" s="142"/>
      <c r="C52" s="1395" t="str">
        <f>IF(AND(NOT(ISBLANK(Worksheet!G106)),NOT(ISBLANK(Worksheet!M108))),"together with interest on said sum at the legal rate of 10% per annum until paid in full plus additional accrued ",IF(NOT(ISBLANK(Worksheet!G106)),"together with interest at the legal rate of 10% per annum until paid in full.",""))</f>
        <v/>
      </c>
      <c r="D52" s="1395"/>
      <c r="E52" s="1395"/>
      <c r="F52" s="1395"/>
      <c r="G52" s="1395"/>
      <c r="H52" s="1395"/>
      <c r="I52" s="1395"/>
      <c r="J52" s="1395"/>
      <c r="K52" s="1395"/>
      <c r="L52" s="1395"/>
      <c r="M52" s="1395"/>
      <c r="N52" s="1395"/>
      <c r="O52" s="1395"/>
      <c r="P52" s="1395"/>
      <c r="Q52" s="590"/>
    </row>
    <row r="53" spans="1:17" x14ac:dyDescent="0.25">
      <c r="A53" s="654"/>
      <c r="B53" s="142"/>
      <c r="C53" s="950" t="str">
        <f>IF(AND(NOT(ISBLANK(Worksheet!G106)),NOT(ISBLANK(Worksheet!M108))),"interest on prior child support judgments of  ","")</f>
        <v/>
      </c>
      <c r="D53" s="886"/>
      <c r="E53" s="886"/>
      <c r="F53" s="886"/>
      <c r="G53" s="886"/>
      <c r="H53" s="886"/>
      <c r="I53" s="886"/>
      <c r="J53" s="886"/>
      <c r="K53" s="886"/>
      <c r="L53" s="582" t="str">
        <f>IF(AND(NOT(ISBLANK(Worksheet!G106)),NOT(ISBLANK(Worksheet!M108)),ISBLANK(Worksheet!U108)),TEXT(Worksheet!M108,"$  #,##0.00."),IF(AND(NOT(ISBLANK(Worksheet!G106)),NOT(ISBLANK(Worksheet!M108))),Worksheet!M108,""))</f>
        <v/>
      </c>
      <c r="M53" s="1435" t="str">
        <f>IF(AND(NOT(ISBLANK(Worksheet!G106)),NOT(ISBLANK(Worksheet!M108)),ISNUMBER(Worksheet!U108)),"calculated thru the date of","")</f>
        <v/>
      </c>
      <c r="N53" s="1436"/>
      <c r="O53" s="1476" t="str">
        <f>IF(AND(NOT(ISBLANK(Worksheet!G106)),NOT(ISBLANK(Worksheet!M108)),ISNUMBER(Worksheet!U108)),Worksheet!U108,"")</f>
        <v/>
      </c>
      <c r="P53" s="1477"/>
      <c r="Q53" s="590"/>
    </row>
    <row r="54" spans="1:17" s="163" customFormat="1" x14ac:dyDescent="0.25">
      <c r="A54" s="654"/>
      <c r="B54" s="142"/>
      <c r="C54" s="953" t="str">
        <f>IF(ISBLANK(Worksheet!G106),"",IF(Obligor="Parent A","Parent A shall pay, in addition to current support payment, the sum of",IF(Obligor="Parent B","Parent B shall pay, in addition to current support payment, the sum of","_____ shall pay, in addition to current support payments, the sum of")))</f>
        <v/>
      </c>
      <c r="D54" s="876"/>
      <c r="E54" s="876"/>
      <c r="F54" s="876"/>
      <c r="G54" s="876"/>
      <c r="H54" s="876"/>
      <c r="I54" s="876"/>
      <c r="J54" s="876"/>
      <c r="K54" s="876"/>
      <c r="L54" s="876"/>
      <c r="M54" s="876"/>
      <c r="N54" s="153" t="str">
        <f>IF(AND(NOT(ISBLANK(Worksheet!G106)),NOT(ISBLANK(Worksheet!R125))),Worksheet!R125,"")</f>
        <v/>
      </c>
      <c r="O54" s="953" t="str">
        <f>IF(NOT(ISBLANK(Worksheet!G106)),"per month towards this","")</f>
        <v/>
      </c>
      <c r="P54" s="876"/>
      <c r="Q54" s="590"/>
    </row>
    <row r="55" spans="1:17" ht="12.75" customHeight="1" x14ac:dyDescent="0.25">
      <c r="A55" s="654"/>
      <c r="B55" s="142"/>
      <c r="C55" s="950" t="str">
        <f>IF(NOT(ISBLANK(Worksheet!G106)),"judgment on the first (1st) day of each month beginning","")</f>
        <v/>
      </c>
      <c r="D55" s="950"/>
      <c r="E55" s="950"/>
      <c r="F55" s="950"/>
      <c r="G55" s="950"/>
      <c r="H55" s="950"/>
      <c r="I55" s="950"/>
      <c r="J55" s="950"/>
      <c r="K55" s="950"/>
      <c r="L55" s="886"/>
      <c r="M55" s="1482" t="str">
        <f ca="1">IF(AND(NOT(ISBLANK(Worksheet!G106)),NOT(ISBLANK(Worksheet!N135))),Worksheet!N135,"")</f>
        <v/>
      </c>
      <c r="N55" s="1483"/>
      <c r="O55" s="1395" t="str">
        <f>IF(NOT(ISBLANK(Worksheet!G106)),"until paid in full.","")</f>
        <v/>
      </c>
      <c r="P55" s="1413"/>
      <c r="Q55" s="590"/>
    </row>
    <row r="56" spans="1:17" s="163" customFormat="1" ht="10.5" customHeight="1" x14ac:dyDescent="0.25">
      <c r="A56" s="654"/>
      <c r="B56" s="142"/>
      <c r="C56" s="661"/>
      <c r="D56" s="661"/>
      <c r="E56" s="661"/>
      <c r="F56" s="661"/>
      <c r="G56" s="661"/>
      <c r="H56" s="661"/>
      <c r="I56" s="661"/>
      <c r="J56" s="661"/>
      <c r="K56" s="661"/>
      <c r="L56" s="583"/>
      <c r="M56" s="584"/>
      <c r="N56" s="661"/>
      <c r="O56" s="661"/>
      <c r="P56" s="661"/>
      <c r="Q56" s="590"/>
    </row>
    <row r="57" spans="1:17" x14ac:dyDescent="0.25">
      <c r="A57" s="654"/>
      <c r="B57" s="142" t="s">
        <v>256</v>
      </c>
      <c r="C57" s="1431" t="s">
        <v>270</v>
      </c>
      <c r="D57" s="886"/>
      <c r="E57" s="886"/>
      <c r="F57" s="886"/>
      <c r="G57" s="886"/>
      <c r="H57" s="886"/>
      <c r="I57" s="1481" t="str">
        <f>IF(ISBLANK(Worksheet!G112),"No judgment for past support is entered.",IF(Obligor="Parent A","Parent B is also granted judgment against Parent A in the additional amount of",IF(Obligor="Parent B","Parent A is also granted judgment against Parent B in the additional amount of","_____ is also granted judgment against _____ in the additional amount of")))</f>
        <v>No judgment for past support is entered.</v>
      </c>
      <c r="J57" s="886"/>
      <c r="K57" s="886"/>
      <c r="L57" s="886"/>
      <c r="M57" s="886"/>
      <c r="N57" s="886"/>
      <c r="O57" s="886"/>
      <c r="P57" s="886"/>
      <c r="Q57" s="590"/>
    </row>
    <row r="58" spans="1:17" x14ac:dyDescent="0.25">
      <c r="A58" s="654"/>
      <c r="B58" s="142"/>
      <c r="C58" s="1480" t="str">
        <f>IF(NOT(ISBLANK(Worksheet!G112)),TEXT(Worksheet!M112, "$#,###.00."),"")</f>
        <v/>
      </c>
      <c r="D58" s="1136"/>
      <c r="E58" s="1136"/>
      <c r="F58" s="950" t="str">
        <f>IF(ISBLANK(Worksheet!G112),".",SUBSTITUTE(Obligor, "the obligor","_____")&amp;" shall pay the additional sum of ")</f>
        <v>.</v>
      </c>
      <c r="G58" s="886"/>
      <c r="H58" s="886"/>
      <c r="I58" s="886"/>
      <c r="J58" s="886"/>
      <c r="K58" s="886"/>
      <c r="L58" s="886"/>
      <c r="M58" s="262" t="str">
        <f>IF(AND(NOT(ISBLANK(Worksheet!G112)),NOT(ISBLANK(Worksheet!R126))),Worksheet!R126,"")</f>
        <v/>
      </c>
      <c r="N58" s="953" t="str">
        <f>IF(NOT(ISBLANK(Worksheet!G112)),"per month towards this judgment,","")</f>
        <v/>
      </c>
      <c r="O58" s="886"/>
      <c r="P58" s="886"/>
      <c r="Q58" s="590"/>
    </row>
    <row r="59" spans="1:17" ht="12.75" customHeight="1" x14ac:dyDescent="0.25">
      <c r="A59" s="654"/>
      <c r="B59" s="142"/>
      <c r="C59" s="953" t="str">
        <f>IF(NOT(ISBLANK(Worksheet!G112)),"payable on the first (1st) day of each month commencing","")</f>
        <v/>
      </c>
      <c r="D59" s="886"/>
      <c r="E59" s="886"/>
      <c r="F59" s="886"/>
      <c r="G59" s="886"/>
      <c r="H59" s="886"/>
      <c r="I59" s="886"/>
      <c r="J59" s="886"/>
      <c r="K59" s="886"/>
      <c r="L59" s="886"/>
      <c r="M59" s="1486" t="str">
        <f ca="1">IF(AND(NOT(ISBLANK(Worksheet!G112)),NOT(ISBLANK(Worksheet!N135))),Worksheet!N135,"")</f>
        <v/>
      </c>
      <c r="N59" s="982"/>
      <c r="O59" s="950" t="str">
        <f>IF(NOT(ISBLANK(Worksheet!G112)),"until paid in full.","")</f>
        <v/>
      </c>
      <c r="P59" s="886"/>
      <c r="Q59" s="610"/>
    </row>
    <row r="60" spans="1:17" s="182" customFormat="1" x14ac:dyDescent="0.25">
      <c r="A60" s="654"/>
      <c r="B60" s="142"/>
      <c r="C60" s="953"/>
      <c r="D60" s="886"/>
      <c r="E60" s="886"/>
      <c r="F60" s="886"/>
      <c r="G60" s="886"/>
      <c r="H60" s="886"/>
      <c r="I60" s="886"/>
      <c r="J60" s="886"/>
      <c r="K60" s="886"/>
      <c r="L60" s="886"/>
      <c r="M60" s="886"/>
      <c r="N60" s="886"/>
      <c r="O60" s="886"/>
      <c r="P60" s="886"/>
      <c r="Q60" s="590"/>
    </row>
    <row r="61" spans="1:17" s="182" customFormat="1" x14ac:dyDescent="0.25">
      <c r="A61" s="654"/>
      <c r="B61" s="678" t="s">
        <v>258</v>
      </c>
      <c r="C61" s="700" t="s">
        <v>271</v>
      </c>
      <c r="D61" s="674"/>
      <c r="E61" s="674"/>
      <c r="F61" s="674"/>
      <c r="G61" s="654"/>
      <c r="H61" s="593"/>
      <c r="I61" s="1439" t="str">
        <f>IF(Obligor="Parent A","Parent A shall make monthly payments to Parent B of",IF(Obligor="Parent B","Parent B shall make monthly payments to Parent A of","___________ shall make monthly payments of"))</f>
        <v>___________ shall make monthly payments of</v>
      </c>
      <c r="J61" s="1439"/>
      <c r="K61" s="1439"/>
      <c r="L61" s="1439"/>
      <c r="M61" s="1439"/>
      <c r="N61" s="1439"/>
      <c r="O61" s="333" t="str">
        <f>IF(ISNUMBER(N69),N69,"$0.00")</f>
        <v>$0.00</v>
      </c>
      <c r="P61" s="593" t="s">
        <v>272</v>
      </c>
      <c r="Q61" s="590"/>
    </row>
    <row r="62" spans="1:17" s="182" customFormat="1" x14ac:dyDescent="0.25">
      <c r="A62" s="654"/>
      <c r="B62" s="678"/>
      <c r="C62" s="1440" t="s">
        <v>273</v>
      </c>
      <c r="D62" s="1440"/>
      <c r="E62" s="1440"/>
      <c r="F62" s="1440"/>
      <c r="G62" s="1440"/>
      <c r="H62" s="1440"/>
      <c r="I62" s="1440"/>
      <c r="J62" s="1440"/>
      <c r="K62" s="1440"/>
      <c r="L62" s="1440"/>
      <c r="M62" s="1484">
        <f ca="1">IF(ISNUMBER(Worksheet!N135),Worksheet!N135,"")</f>
        <v>44956</v>
      </c>
      <c r="N62" s="1485"/>
      <c r="O62" s="674" t="s">
        <v>274</v>
      </c>
      <c r="P62" s="593"/>
      <c r="Q62" s="590"/>
    </row>
    <row r="63" spans="1:17" s="182" customFormat="1" x14ac:dyDescent="0.25">
      <c r="A63" s="654"/>
      <c r="B63" s="678"/>
      <c r="C63" s="678"/>
      <c r="D63" s="662"/>
      <c r="E63" s="662"/>
      <c r="F63" s="662"/>
      <c r="G63" s="662"/>
      <c r="H63" s="662"/>
      <c r="I63" s="662"/>
      <c r="J63" s="662"/>
      <c r="K63" s="701"/>
      <c r="L63" s="701"/>
      <c r="M63" s="701"/>
      <c r="N63" s="662"/>
      <c r="O63" s="662"/>
      <c r="P63" s="662"/>
      <c r="Q63" s="590"/>
    </row>
    <row r="64" spans="1:17" s="182" customFormat="1" x14ac:dyDescent="0.25">
      <c r="A64" s="654"/>
      <c r="B64" s="785"/>
      <c r="C64" s="785"/>
      <c r="D64" s="1438" t="s">
        <v>275</v>
      </c>
      <c r="E64" s="1401"/>
      <c r="F64" s="1401"/>
      <c r="G64" s="1401"/>
      <c r="H64" s="1401"/>
      <c r="I64" s="1401"/>
      <c r="J64" s="1401"/>
      <c r="K64" s="1401"/>
      <c r="L64" s="1401"/>
      <c r="M64" s="1401"/>
      <c r="N64" s="180" t="str">
        <f>IF(ISNUMBER(Worksheet!R124),Worksheet!R124,"0.00")</f>
        <v>0.00</v>
      </c>
      <c r="O64" s="187"/>
      <c r="P64" s="187"/>
      <c r="Q64" s="590"/>
    </row>
    <row r="65" spans="1:17" s="182" customFormat="1" x14ac:dyDescent="0.25">
      <c r="A65" s="654"/>
      <c r="B65" s="785"/>
      <c r="C65" s="785"/>
      <c r="D65" s="1438" t="s">
        <v>276</v>
      </c>
      <c r="E65" s="1401"/>
      <c r="F65" s="1401"/>
      <c r="G65" s="1401"/>
      <c r="H65" s="1401"/>
      <c r="I65" s="1401"/>
      <c r="J65" s="1401"/>
      <c r="K65" s="1401"/>
      <c r="L65" s="1401"/>
      <c r="M65" s="1401"/>
      <c r="N65" s="179" t="str">
        <f>IF(OR(ISNUMBER(Worksheet!R125),ISNUMBER(Worksheet!R126)),Worksheet!R125+Worksheet!R126,"")</f>
        <v/>
      </c>
      <c r="O65" s="187"/>
      <c r="P65" s="187"/>
      <c r="Q65" s="590"/>
    </row>
    <row r="66" spans="1:17" s="182" customFormat="1" x14ac:dyDescent="0.25">
      <c r="A66" s="654"/>
      <c r="B66" s="785"/>
      <c r="C66" s="785"/>
      <c r="D66" s="1438" t="s">
        <v>277</v>
      </c>
      <c r="E66" s="886"/>
      <c r="F66" s="886"/>
      <c r="G66" s="886"/>
      <c r="H66" s="886"/>
      <c r="I66" s="886"/>
      <c r="J66" s="886"/>
      <c r="K66" s="886"/>
      <c r="L66" s="886"/>
      <c r="M66" s="886"/>
      <c r="N66" s="179" t="str">
        <f>IF(ISNUMBER(Worksheet!R128),Worksheet!R128,"")</f>
        <v/>
      </c>
      <c r="O66" s="188"/>
      <c r="P66" s="188"/>
      <c r="Q66" s="590"/>
    </row>
    <row r="67" spans="1:17" s="182" customFormat="1" x14ac:dyDescent="0.25">
      <c r="A67" s="654"/>
      <c r="B67" s="785"/>
      <c r="C67" s="785"/>
      <c r="D67" s="1438" t="s">
        <v>278</v>
      </c>
      <c r="E67" s="1401"/>
      <c r="F67" s="1401"/>
      <c r="G67" s="1401"/>
      <c r="H67" s="1401"/>
      <c r="I67" s="1401"/>
      <c r="J67" s="1401"/>
      <c r="K67" s="1401"/>
      <c r="L67" s="1401"/>
      <c r="M67" s="1401"/>
      <c r="N67" s="179" t="str">
        <f>IF(ISNUMBER(Worksheet!R129),Worksheet!R129,"")</f>
        <v/>
      </c>
      <c r="O67" s="188"/>
      <c r="P67" s="188"/>
      <c r="Q67" s="590"/>
    </row>
    <row r="68" spans="1:17" s="182" customFormat="1" x14ac:dyDescent="0.25">
      <c r="A68" s="654"/>
      <c r="B68" s="785"/>
      <c r="C68" s="785"/>
      <c r="D68" s="1438" t="s">
        <v>279</v>
      </c>
      <c r="E68" s="1401"/>
      <c r="F68" s="1401"/>
      <c r="G68" s="1401"/>
      <c r="H68" s="1401"/>
      <c r="I68" s="1401"/>
      <c r="J68" s="1401"/>
      <c r="K68" s="1401"/>
      <c r="L68" s="1401"/>
      <c r="M68" s="1401"/>
      <c r="N68" s="179">
        <f>IF(ISNUMBER(Worksheet!R131),Worksheet!R131,"0.00")</f>
        <v>8</v>
      </c>
      <c r="O68" s="188"/>
      <c r="P68" s="188"/>
      <c r="Q68" s="590"/>
    </row>
    <row r="69" spans="1:17" s="182" customFormat="1" ht="13.8" thickBot="1" x14ac:dyDescent="0.3">
      <c r="A69" s="654"/>
      <c r="B69" s="785"/>
      <c r="C69" s="785"/>
      <c r="D69" s="664"/>
      <c r="E69" s="1438" t="s">
        <v>280</v>
      </c>
      <c r="F69" s="1401"/>
      <c r="G69" s="1401"/>
      <c r="H69" s="1401"/>
      <c r="I69" s="1401"/>
      <c r="J69" s="1401"/>
      <c r="K69" s="1401"/>
      <c r="L69" s="1401"/>
      <c r="M69" s="1401"/>
      <c r="N69" s="181" t="str">
        <f>IF(SUM(N64:N68)=N68,"",SUM(N64:N68))</f>
        <v/>
      </c>
      <c r="O69" s="186"/>
      <c r="P69" s="186"/>
      <c r="Q69" s="590"/>
    </row>
    <row r="70" spans="1:17" s="182" customFormat="1" ht="13.8" thickTop="1" x14ac:dyDescent="0.25">
      <c r="A70" s="654"/>
      <c r="B70" s="785"/>
      <c r="C70" s="785"/>
      <c r="D70" s="797"/>
      <c r="E70" s="797"/>
      <c r="F70" s="797"/>
      <c r="G70" s="797"/>
      <c r="H70" s="797"/>
      <c r="I70" s="797"/>
      <c r="J70" s="797"/>
      <c r="K70" s="797"/>
      <c r="L70" s="797"/>
      <c r="M70" s="797"/>
      <c r="N70" s="797"/>
      <c r="O70" s="786"/>
      <c r="P70" s="786"/>
      <c r="Q70" s="590"/>
    </row>
    <row r="71" spans="1:17" ht="12.75" customHeight="1" x14ac:dyDescent="0.25">
      <c r="A71" s="654"/>
      <c r="B71" s="678" t="s">
        <v>260</v>
      </c>
      <c r="C71" s="1400" t="s">
        <v>281</v>
      </c>
      <c r="D71" s="886"/>
      <c r="E71" s="886"/>
      <c r="F71" s="886"/>
      <c r="G71" s="886"/>
      <c r="H71" s="886"/>
      <c r="I71" s="886"/>
      <c r="J71" s="886"/>
      <c r="K71" s="886"/>
      <c r="L71" s="886"/>
      <c r="M71" s="886"/>
      <c r="N71" s="886"/>
      <c r="O71" s="886"/>
      <c r="P71" s="886"/>
      <c r="Q71" s="590"/>
    </row>
    <row r="72" spans="1:17" s="182" customFormat="1" ht="12.75" customHeight="1" x14ac:dyDescent="0.25">
      <c r="A72" s="654"/>
      <c r="B72" s="183"/>
      <c r="C72" s="1400" t="str">
        <f>"Order of Assignment signed this date.  Any time the full amount of support ordered is not withheld, "&amp;Obligor</f>
        <v>Order of Assignment signed this date.  Any time the full amount of support ordered is not withheld, the obligor</v>
      </c>
      <c r="D72" s="886"/>
      <c r="E72" s="886"/>
      <c r="F72" s="886"/>
      <c r="G72" s="886"/>
      <c r="H72" s="886"/>
      <c r="I72" s="886"/>
      <c r="J72" s="886"/>
      <c r="K72" s="886"/>
      <c r="L72" s="886"/>
      <c r="M72" s="886"/>
      <c r="N72" s="886"/>
      <c r="O72" s="886"/>
      <c r="P72" s="886"/>
      <c r="Q72" s="590"/>
    </row>
    <row r="73" spans="1:17" s="175" customFormat="1" ht="42.75" customHeight="1" x14ac:dyDescent="0.25">
      <c r="A73" s="654"/>
      <c r="B73" s="183"/>
      <c r="C73" s="1407" t="s">
        <v>282</v>
      </c>
      <c r="D73" s="1413"/>
      <c r="E73" s="1413"/>
      <c r="F73" s="1413"/>
      <c r="G73" s="1413"/>
      <c r="H73" s="1413"/>
      <c r="I73" s="1413"/>
      <c r="J73" s="1413"/>
      <c r="K73" s="1413"/>
      <c r="L73" s="1413"/>
      <c r="M73" s="1413"/>
      <c r="N73" s="1413"/>
      <c r="O73" s="1413"/>
      <c r="P73" s="1413"/>
      <c r="Q73" s="590"/>
    </row>
    <row r="74" spans="1:17" x14ac:dyDescent="0.25">
      <c r="A74" s="654"/>
      <c r="B74" s="142"/>
      <c r="C74" s="1395"/>
      <c r="D74" s="1395"/>
      <c r="E74" s="1395"/>
      <c r="F74" s="1395"/>
      <c r="G74" s="1395"/>
      <c r="H74" s="1395"/>
      <c r="I74" s="1394" t="s">
        <v>283</v>
      </c>
      <c r="J74" s="1395"/>
      <c r="K74" s="1395"/>
      <c r="L74" s="1395"/>
      <c r="M74" s="1395"/>
      <c r="N74" s="1395"/>
      <c r="O74" s="1395"/>
      <c r="P74" s="1395"/>
      <c r="Q74" s="590"/>
    </row>
    <row r="75" spans="1:17" x14ac:dyDescent="0.25">
      <c r="A75" s="654"/>
      <c r="B75" s="142"/>
      <c r="C75" s="1395"/>
      <c r="D75" s="1395"/>
      <c r="E75" s="1395"/>
      <c r="F75" s="1395"/>
      <c r="G75" s="1395"/>
      <c r="H75" s="1395"/>
      <c r="I75" s="1394" t="s">
        <v>284</v>
      </c>
      <c r="J75" s="1395"/>
      <c r="K75" s="1395"/>
      <c r="L75" s="1395"/>
      <c r="M75" s="1395"/>
      <c r="N75" s="1395"/>
      <c r="O75" s="1395"/>
      <c r="P75" s="1395"/>
      <c r="Q75" s="590"/>
    </row>
    <row r="76" spans="1:17" x14ac:dyDescent="0.25">
      <c r="A76" s="654"/>
      <c r="B76" s="142"/>
      <c r="C76" s="1395"/>
      <c r="D76" s="1395"/>
      <c r="E76" s="1395"/>
      <c r="F76" s="1395"/>
      <c r="G76" s="1395"/>
      <c r="H76" s="1395"/>
      <c r="I76" s="1394" t="s">
        <v>285</v>
      </c>
      <c r="J76" s="1395"/>
      <c r="K76" s="1395"/>
      <c r="L76" s="1395"/>
      <c r="M76" s="1395"/>
      <c r="N76" s="1395"/>
      <c r="O76" s="1395"/>
      <c r="P76" s="1395"/>
      <c r="Q76" s="590"/>
    </row>
    <row r="77" spans="1:17" ht="12" customHeight="1" x14ac:dyDescent="0.25">
      <c r="A77" s="654"/>
      <c r="B77" s="142"/>
      <c r="C77" s="1395"/>
      <c r="D77" s="1395"/>
      <c r="E77" s="1395"/>
      <c r="F77" s="1395"/>
      <c r="G77" s="1395"/>
      <c r="H77" s="1395"/>
      <c r="I77" s="1395"/>
      <c r="J77" s="1395"/>
      <c r="K77" s="1395"/>
      <c r="L77" s="1395"/>
      <c r="M77" s="1395"/>
      <c r="N77" s="1395"/>
      <c r="O77" s="1395"/>
      <c r="P77" s="1395"/>
      <c r="Q77" s="590"/>
    </row>
    <row r="78" spans="1:17" x14ac:dyDescent="0.25">
      <c r="A78" s="654"/>
      <c r="B78" s="142"/>
      <c r="C78" s="1394" t="str">
        <f>"Payments must include "&amp;ObligorName&amp;"'s name, ATLAS number, and Social Security Number."</f>
        <v>Payments must include the obligor's name, ATLAS number, and Social Security Number.</v>
      </c>
      <c r="D78" s="1394"/>
      <c r="E78" s="1394"/>
      <c r="F78" s="1394"/>
      <c r="G78" s="1394"/>
      <c r="H78" s="1394"/>
      <c r="I78" s="1394"/>
      <c r="J78" s="1394"/>
      <c r="K78" s="1394"/>
      <c r="L78" s="1394"/>
      <c r="M78" s="1394"/>
      <c r="N78" s="1394"/>
      <c r="O78" s="1394"/>
      <c r="P78" s="1394"/>
      <c r="Q78" s="590"/>
    </row>
    <row r="79" spans="1:17" x14ac:dyDescent="0.25">
      <c r="A79" s="654"/>
      <c r="B79" s="1479"/>
      <c r="C79" s="1479"/>
      <c r="D79" s="1479"/>
      <c r="E79" s="1479"/>
      <c r="F79" s="1479"/>
      <c r="G79" s="1479"/>
      <c r="H79" s="1479"/>
      <c r="I79" s="1479"/>
      <c r="J79" s="1479"/>
      <c r="K79" s="1479"/>
      <c r="L79" s="1479"/>
      <c r="M79" s="1479"/>
      <c r="N79" s="1479"/>
      <c r="O79" s="1479"/>
      <c r="P79" s="1479"/>
      <c r="Q79" s="590"/>
    </row>
    <row r="80" spans="1:17" s="175" customFormat="1" ht="12.75" customHeight="1" x14ac:dyDescent="0.25">
      <c r="A80" s="654"/>
      <c r="B80" s="678" t="s">
        <v>262</v>
      </c>
      <c r="C80" s="1400" t="s">
        <v>286</v>
      </c>
      <c r="D80" s="1401"/>
      <c r="E80" s="1401"/>
      <c r="F80" s="1401"/>
      <c r="G80" s="1401"/>
      <c r="H80" s="1401"/>
      <c r="I80" s="1401"/>
      <c r="J80" s="1401"/>
      <c r="K80" s="1401"/>
      <c r="L80" s="1401"/>
      <c r="M80" s="1401"/>
      <c r="N80" s="1401"/>
      <c r="O80" s="1401"/>
      <c r="P80" s="1401"/>
      <c r="Q80" s="590"/>
    </row>
    <row r="81" spans="1:17" s="51" customFormat="1" ht="26.25" customHeight="1" x14ac:dyDescent="0.25">
      <c r="A81" s="654"/>
      <c r="B81" s="674"/>
      <c r="C81" s="1407" t="str">
        <f>"writing to the Clerk of the Superior Court and the Support Payment Clearinghouse immediately.  "&amp;SUBSTITUTE(Obligor,"the","The")&amp;" shall submit the names and addresses of "&amp;Obligor&amp;"'s employers or other payors within 10 days."</f>
        <v>writing to the Clerk of the Superior Court and the Support Payment Clearinghouse immediately.  The obligor shall submit the names and addresses of the obligor's employers or other payors within 10 days.</v>
      </c>
      <c r="D81" s="1456"/>
      <c r="E81" s="1456"/>
      <c r="F81" s="1456"/>
      <c r="G81" s="1456"/>
      <c r="H81" s="1456"/>
      <c r="I81" s="1456"/>
      <c r="J81" s="1456"/>
      <c r="K81" s="1456"/>
      <c r="L81" s="1456"/>
      <c r="M81" s="1456"/>
      <c r="N81" s="1456"/>
      <c r="O81" s="1456"/>
      <c r="P81" s="1456"/>
      <c r="Q81" s="692"/>
    </row>
    <row r="82" spans="1:17" s="178" customFormat="1" ht="12.75" customHeight="1" x14ac:dyDescent="0.25">
      <c r="A82" s="654"/>
      <c r="B82" s="674"/>
      <c r="C82" s="1400" t="s">
        <v>287</v>
      </c>
      <c r="D82" s="1401"/>
      <c r="E82" s="1401"/>
      <c r="F82" s="1401"/>
      <c r="G82" s="1401"/>
      <c r="H82" s="1401"/>
      <c r="I82" s="1401"/>
      <c r="J82" s="1401"/>
      <c r="K82" s="1401"/>
      <c r="L82" s="1401"/>
      <c r="M82" s="1401"/>
      <c r="N82" s="1401"/>
      <c r="O82" s="1401"/>
      <c r="P82" s="1401"/>
      <c r="Q82" s="692"/>
    </row>
    <row r="83" spans="1:17" s="51" customFormat="1" x14ac:dyDescent="0.25">
      <c r="A83" s="654"/>
      <c r="B83" s="183"/>
      <c r="C83" s="1411"/>
      <c r="D83" s="1411"/>
      <c r="E83" s="1411"/>
      <c r="F83" s="1411"/>
      <c r="G83" s="1411"/>
      <c r="H83" s="1411"/>
      <c r="I83" s="1411"/>
      <c r="J83" s="1411"/>
      <c r="K83" s="1411"/>
      <c r="L83" s="1411"/>
      <c r="M83" s="1411"/>
      <c r="N83" s="1411"/>
      <c r="O83" s="1411"/>
      <c r="P83" s="1411"/>
      <c r="Q83" s="692"/>
    </row>
    <row r="84" spans="1:17" s="51" customFormat="1" ht="12.75" customHeight="1" x14ac:dyDescent="0.25">
      <c r="A84" s="654"/>
      <c r="B84" s="678" t="s">
        <v>288</v>
      </c>
      <c r="C84" s="1478" t="s">
        <v>289</v>
      </c>
      <c r="D84" s="1452"/>
      <c r="E84" s="1452"/>
      <c r="F84" s="1452"/>
      <c r="G84" s="1452"/>
      <c r="H84" s="1452" t="str">
        <f>IF(OR(AND(NOT(ISBLANK(Worksheet!U65)),ISBLANK(Worksheet!Y65)),AND(Worksheet!H140="x",ISBLANK(Worksheet!U65),ISBLANK(Worksheet!Y65))),"Parent A shall be individually",IF(OR(AND(ISBLANK(Worksheet!U65),NOT(ISBLANK(Worksheet!Y65))),AND(Worksheet!H141="x",ISBLANK(Worksheet!U65),ISBLANK(Worksheet!Y65))),"Parent B shall be individually","Both Parent A and Parent B are"))&amp;" responsible for providing medical insurance for the "</f>
        <v xml:space="preserve">Both Parent A and Parent B are responsible for providing medical insurance for the </v>
      </c>
      <c r="I84" s="1452"/>
      <c r="J84" s="1452"/>
      <c r="K84" s="1452"/>
      <c r="L84" s="1452"/>
      <c r="M84" s="1452"/>
      <c r="N84" s="1452"/>
      <c r="O84" s="1452"/>
      <c r="P84" s="1452"/>
      <c r="Q84" s="692"/>
    </row>
    <row r="85" spans="1:17" s="162" customFormat="1" ht="24.75" customHeight="1" x14ac:dyDescent="0.25">
      <c r="A85" s="654"/>
      <c r="B85" s="183"/>
      <c r="C85" s="1411" t="str">
        <f>IF(OR(NOT(ISBLANK(Worksheet!U65)),NOT(ISBLANK(Worksheet!Y65))),"minor "&amp;ChildChildren&amp;", and shall continue to pay premiums for any medical, dental and vision policies covering the "&amp;ChildChildren&amp;" that are currently in existence.",IF(OR(NOT(ISBLANK(Worksheet!G139)),Worksheet!H140="x",Worksheet!H141="x"),"minor "&amp;ChildChildren&amp;" of the parties as soon as it becomes accessible and available at a reasonable cost, as neither parent currently has the ability to obtain such medical insurance.","any minor child of the parties as soon as it becomes accessible and available at a reasonable cost."))</f>
        <v>minor children of the parties as soon as it becomes accessible and available at a reasonable cost, as neither parent currently has the ability to obtain such medical insurance.</v>
      </c>
      <c r="D85" s="1411"/>
      <c r="E85" s="1411"/>
      <c r="F85" s="1411"/>
      <c r="G85" s="1411"/>
      <c r="H85" s="1411"/>
      <c r="I85" s="1411"/>
      <c r="J85" s="1411"/>
      <c r="K85" s="1411"/>
      <c r="L85" s="1411"/>
      <c r="M85" s="1411"/>
      <c r="N85" s="1411"/>
      <c r="O85" s="1411"/>
      <c r="P85" s="1411"/>
      <c r="Q85" s="692"/>
    </row>
    <row r="86" spans="1:17" s="51" customFormat="1" ht="7.5" customHeight="1" x14ac:dyDescent="0.25">
      <c r="A86" s="654"/>
      <c r="B86" s="183"/>
      <c r="C86" s="1411"/>
      <c r="D86" s="1411"/>
      <c r="E86" s="1411"/>
      <c r="F86" s="1411"/>
      <c r="G86" s="1411"/>
      <c r="H86" s="1411"/>
      <c r="I86" s="1411"/>
      <c r="J86" s="1411"/>
      <c r="K86" s="1411"/>
      <c r="L86" s="1411"/>
      <c r="M86" s="1411"/>
      <c r="N86" s="1411"/>
      <c r="O86" s="1411"/>
      <c r="P86" s="1411"/>
      <c r="Q86" s="692"/>
    </row>
    <row r="87" spans="1:17" s="51" customFormat="1" x14ac:dyDescent="0.25">
      <c r="A87" s="654"/>
      <c r="B87" s="678" t="s">
        <v>290</v>
      </c>
      <c r="C87" s="1400" t="s">
        <v>291</v>
      </c>
      <c r="D87" s="1401"/>
      <c r="E87" s="1401"/>
      <c r="F87" s="1401"/>
      <c r="G87" s="1401"/>
      <c r="H87" s="1401"/>
      <c r="I87" s="1401"/>
      <c r="J87" s="1401"/>
      <c r="K87" s="1401"/>
      <c r="L87" s="1401"/>
      <c r="M87" s="1401"/>
      <c r="N87" s="1401"/>
      <c r="O87" s="1401"/>
      <c r="P87" s="1401"/>
      <c r="Q87" s="692"/>
    </row>
    <row r="88" spans="1:17" s="51" customFormat="1" ht="12.75" customHeight="1" x14ac:dyDescent="0.25">
      <c r="A88" s="654"/>
      <c r="B88" s="183"/>
      <c r="C88" s="1407" t="s">
        <v>292</v>
      </c>
      <c r="D88" s="1411"/>
      <c r="E88" s="1411"/>
      <c r="F88" s="1411"/>
      <c r="G88" s="1411"/>
      <c r="H88" s="1411"/>
      <c r="I88" s="1411"/>
      <c r="J88" s="1411"/>
      <c r="K88" s="1411"/>
      <c r="L88" s="1411"/>
      <c r="M88" s="1411"/>
      <c r="N88" s="1411"/>
      <c r="O88" s="1411"/>
      <c r="P88" s="1411"/>
      <c r="Q88" s="692"/>
    </row>
    <row r="89" spans="1:17" s="51" customFormat="1" x14ac:dyDescent="0.25">
      <c r="A89" s="654"/>
      <c r="B89" s="183"/>
      <c r="C89" s="1493" t="s">
        <v>49</v>
      </c>
      <c r="D89" s="1411"/>
      <c r="E89" s="1411"/>
      <c r="F89" s="1411"/>
      <c r="G89" s="1411"/>
      <c r="H89" s="1411"/>
      <c r="I89" s="1491" t="str">
        <f>IF(ISNUMBER(Worksheet!I143),ROUND(Worksheet!I143,2),"")</f>
        <v/>
      </c>
      <c r="J89" s="1492"/>
      <c r="K89" s="1492"/>
      <c r="L89" s="674"/>
      <c r="M89" s="668" t="s">
        <v>50</v>
      </c>
      <c r="N89" s="667" t="str">
        <f>IF(ISNUMBER(Worksheet!N143),ROUND(Worksheet!N143,2),"")</f>
        <v/>
      </c>
      <c r="O89" s="688"/>
      <c r="P89" s="688"/>
      <c r="Q89" s="692"/>
    </row>
    <row r="90" spans="1:17" s="51" customFormat="1" x14ac:dyDescent="0.25">
      <c r="A90" s="654"/>
      <c r="B90" s="183"/>
      <c r="C90" s="1411"/>
      <c r="D90" s="1411"/>
      <c r="E90" s="1411"/>
      <c r="F90" s="1411"/>
      <c r="G90" s="1411"/>
      <c r="H90" s="1411"/>
      <c r="I90" s="1411"/>
      <c r="J90" s="1411"/>
      <c r="K90" s="1411"/>
      <c r="L90" s="1411"/>
      <c r="M90" s="1411"/>
      <c r="N90" s="1411"/>
      <c r="O90" s="1411"/>
      <c r="P90" s="1411"/>
      <c r="Q90" s="692"/>
    </row>
    <row r="91" spans="1:17" s="51" customFormat="1" x14ac:dyDescent="0.25">
      <c r="A91" s="654"/>
      <c r="B91" s="678" t="s">
        <v>293</v>
      </c>
      <c r="C91" s="1400" t="s">
        <v>294</v>
      </c>
      <c r="D91" s="1401"/>
      <c r="E91" s="1401"/>
      <c r="F91" s="1401"/>
      <c r="G91" s="1401"/>
      <c r="H91" s="1401"/>
      <c r="I91" s="1401"/>
      <c r="J91" s="1401"/>
      <c r="K91" s="1401"/>
      <c r="L91" s="1401"/>
      <c r="M91" s="1401"/>
      <c r="N91" s="1401"/>
      <c r="O91" s="1401"/>
      <c r="P91" s="1401"/>
      <c r="Q91" s="692"/>
    </row>
    <row r="92" spans="1:17" s="51" customFormat="1" ht="8.1" customHeight="1" x14ac:dyDescent="0.25">
      <c r="A92" s="654"/>
      <c r="B92" s="183"/>
      <c r="C92" s="1411"/>
      <c r="D92" s="1411"/>
      <c r="E92" s="1411"/>
      <c r="F92" s="1411"/>
      <c r="G92" s="1411"/>
      <c r="H92" s="1411"/>
      <c r="I92" s="1411"/>
      <c r="J92" s="1411"/>
      <c r="K92" s="1411"/>
      <c r="L92" s="1411"/>
      <c r="M92" s="1411"/>
      <c r="N92" s="1411"/>
      <c r="O92" s="1411"/>
      <c r="P92" s="1411"/>
      <c r="Q92" s="692"/>
    </row>
    <row r="93" spans="1:17" s="51" customFormat="1" ht="13.2" customHeight="1" x14ac:dyDescent="0.25">
      <c r="A93" s="654"/>
      <c r="B93" s="183"/>
      <c r="C93" s="1493" t="s">
        <v>49</v>
      </c>
      <c r="D93" s="1411"/>
      <c r="E93" s="1411"/>
      <c r="F93" s="1411"/>
      <c r="G93" s="1411"/>
      <c r="H93" s="1411"/>
      <c r="I93" s="1491" t="str">
        <f>IF(ISNUMBER(Worksheet!I145),ROUND(Worksheet!I145,2),"N/A")</f>
        <v>N/A</v>
      </c>
      <c r="J93" s="1492"/>
      <c r="K93" s="1492"/>
      <c r="L93" s="674"/>
      <c r="M93" s="668" t="s">
        <v>50</v>
      </c>
      <c r="N93" s="667" t="str">
        <f>IF(ISNUMBER(Worksheet!N145),ROUND(Worksheet!N145,2),"N/A")</f>
        <v>N/A</v>
      </c>
      <c r="O93" s="674"/>
      <c r="P93" s="666"/>
      <c r="Q93" s="692"/>
    </row>
    <row r="94" spans="1:17" s="51" customFormat="1" ht="12" customHeight="1" x14ac:dyDescent="0.25">
      <c r="A94" s="654"/>
      <c r="B94" s="183"/>
      <c r="C94" s="1411"/>
      <c r="D94" s="1411"/>
      <c r="E94" s="1411"/>
      <c r="F94" s="1411"/>
      <c r="G94" s="1411"/>
      <c r="H94" s="1411"/>
      <c r="I94" s="1411"/>
      <c r="J94" s="1411"/>
      <c r="K94" s="1411"/>
      <c r="L94" s="1411"/>
      <c r="M94" s="1411"/>
      <c r="N94" s="1411"/>
      <c r="O94" s="1411"/>
      <c r="P94" s="1411"/>
      <c r="Q94" s="692"/>
    </row>
    <row r="95" spans="1:17" s="178" customFormat="1" ht="9.75" customHeight="1" x14ac:dyDescent="0.25">
      <c r="A95" s="674"/>
      <c r="B95" s="183"/>
      <c r="C95" s="666"/>
      <c r="D95" s="666"/>
      <c r="E95" s="666"/>
      <c r="F95" s="666"/>
      <c r="G95" s="666"/>
      <c r="H95" s="666"/>
      <c r="I95" s="666"/>
      <c r="J95" s="666"/>
      <c r="K95" s="666"/>
      <c r="L95" s="666"/>
      <c r="M95" s="666"/>
      <c r="N95" s="666"/>
      <c r="O95" s="666"/>
      <c r="P95" s="666"/>
      <c r="Q95" s="692"/>
    </row>
    <row r="96" spans="1:17" s="178" customFormat="1" ht="12" customHeight="1" x14ac:dyDescent="0.25">
      <c r="A96" s="654"/>
      <c r="B96" s="183"/>
      <c r="C96" s="149"/>
      <c r="D96" s="674"/>
      <c r="E96" s="150"/>
      <c r="F96" s="674"/>
      <c r="G96" s="151"/>
      <c r="H96" s="149"/>
      <c r="I96" s="674"/>
      <c r="J96" s="674"/>
      <c r="K96" s="674"/>
      <c r="L96" s="674"/>
      <c r="M96" s="674"/>
      <c r="N96" s="154" t="s">
        <v>268</v>
      </c>
      <c r="O96" s="1434" t="str">
        <f>CaseNumber</f>
        <v/>
      </c>
      <c r="P96" s="1399"/>
      <c r="Q96" s="692"/>
    </row>
    <row r="97" spans="1:17" s="178" customFormat="1" ht="9.75" customHeight="1" x14ac:dyDescent="0.25">
      <c r="A97" s="654"/>
      <c r="B97" s="183"/>
      <c r="C97" s="666"/>
      <c r="D97" s="666"/>
      <c r="E97" s="666"/>
      <c r="F97" s="666"/>
      <c r="G97" s="666"/>
      <c r="H97" s="666"/>
      <c r="I97" s="666"/>
      <c r="J97" s="666"/>
      <c r="K97" s="666"/>
      <c r="L97" s="666"/>
      <c r="M97" s="666"/>
      <c r="N97" s="666"/>
      <c r="O97" s="666"/>
      <c r="P97" s="666"/>
      <c r="Q97" s="692"/>
    </row>
    <row r="98" spans="1:17" s="51" customFormat="1" x14ac:dyDescent="0.25">
      <c r="A98" s="654"/>
      <c r="B98" s="678" t="s">
        <v>295</v>
      </c>
      <c r="C98" s="1462" t="s">
        <v>296</v>
      </c>
      <c r="D98" s="1401"/>
      <c r="E98" s="1401"/>
      <c r="F98" s="1401"/>
      <c r="G98" s="1452" t="str">
        <f>IF(Tax!D5=1,"The federal and state tax exemptions for the dependent child are allocated as follows:","The federal and state tax exemptions for the dependent children are allocated as follows:")</f>
        <v>The federal and state tax exemptions for the dependent children are allocated as follows:</v>
      </c>
      <c r="H98" s="1401"/>
      <c r="I98" s="1401"/>
      <c r="J98" s="1401"/>
      <c r="K98" s="1401"/>
      <c r="L98" s="1401"/>
      <c r="M98" s="1401"/>
      <c r="N98" s="1401"/>
      <c r="O98" s="1401"/>
      <c r="P98" s="1401"/>
      <c r="Q98" s="692"/>
    </row>
    <row r="99" spans="1:17" s="51" customFormat="1" ht="9.75" customHeight="1" x14ac:dyDescent="0.25">
      <c r="A99" s="654"/>
      <c r="B99" s="183"/>
      <c r="C99" s="1447"/>
      <c r="D99" s="1447"/>
      <c r="E99" s="1447"/>
      <c r="F99" s="1447"/>
      <c r="G99" s="1447"/>
      <c r="H99" s="1447"/>
      <c r="I99" s="1447"/>
      <c r="J99" s="1447"/>
      <c r="K99" s="1447"/>
      <c r="L99" s="1447"/>
      <c r="M99" s="1447"/>
      <c r="N99" s="1447"/>
      <c r="O99" s="1447"/>
      <c r="P99" s="1447"/>
      <c r="Q99" s="692"/>
    </row>
    <row r="100" spans="1:17" s="51" customFormat="1" ht="12.75" customHeight="1" x14ac:dyDescent="0.25">
      <c r="A100" s="654"/>
      <c r="B100" s="183"/>
      <c r="C100" s="1467" t="s">
        <v>142</v>
      </c>
      <c r="D100" s="1468"/>
      <c r="E100" s="1468"/>
      <c r="F100" s="1468"/>
      <c r="G100" s="1468"/>
      <c r="H100" s="1468"/>
      <c r="I100" s="1469" t="str">
        <f>IF(AND(NOT(ISNUMBER(I102)),NOT(ISNUMBER(I103)),NOT(ISNUMBER(I104)),NOT(ISNUMBER(I105)),NOT(ISNUMBER(I106)),NOT(ISNUMBER(I107)),OR(ISNUMBER(H102),ISNUMBER(H103),ISNUMBER(H104),ISNUMBER(H105),ISNUMBER(H106),ISNUMBER(H107))),"Age",M18)</f>
        <v>Date of Birth</v>
      </c>
      <c r="J100" s="1468"/>
      <c r="K100" s="1470"/>
      <c r="L100" s="1459" t="s">
        <v>143</v>
      </c>
      <c r="M100" s="1460"/>
      <c r="N100" s="1460"/>
      <c r="O100" s="1460"/>
      <c r="P100" s="1461"/>
      <c r="Q100" s="692"/>
    </row>
    <row r="101" spans="1:17" s="51" customFormat="1" x14ac:dyDescent="0.25">
      <c r="A101" s="654"/>
      <c r="B101" s="183"/>
      <c r="C101" s="1468"/>
      <c r="D101" s="1468"/>
      <c r="E101" s="1468"/>
      <c r="F101" s="1468"/>
      <c r="G101" s="1468"/>
      <c r="H101" s="1468"/>
      <c r="I101" s="1468"/>
      <c r="J101" s="1468"/>
      <c r="K101" s="1470"/>
      <c r="L101" s="557">
        <f ca="1">WorksheetYear</f>
        <v>2022</v>
      </c>
      <c r="M101" s="558">
        <f ca="1">IF(NOT(ISNUMBER($I102)),WorksheetYear+1,IF(L101+1&lt;=YEAR(MAX($I102:$I107))+18,L101+1,""))</f>
        <v>2023</v>
      </c>
      <c r="N101" s="558">
        <f ca="1">IF(NOT(ISNUMBER(I102)),WorksheetYear+2,IF(AND(ISNUMBER(I102),Tax!E15=0.5),"",IF(L101+2&lt;=YEAR(MAX(I102:I107))+18,L101+2,"")))</f>
        <v>2024</v>
      </c>
      <c r="O101" s="558">
        <f ca="1">IF(NOT(ISNUMBER(I102)),WorksheetYear+3,IF(OR(Tax!E15=0.7,Tax!E15=0.5,Tax!E15=0.3),"",IF(L101+3&lt;=YEAR(MAX(I102:I107))+18,L101+3,"")))</f>
        <v>2025</v>
      </c>
      <c r="P101" s="558">
        <f ca="1">IF(NOT(ISNUMBER(I102)),WorksheetYear+4,IF(OR(Tax!E15=0.75,Tax!E15=0.7,Tax!E15=0.5,Tax!E15=0.3,Tax!E15=0.25),"",IF(L101+4&lt;=YEAR(MAX(I102:I107))+18,L101+4,"")))</f>
        <v>2026</v>
      </c>
      <c r="Q101" s="692"/>
    </row>
    <row r="102" spans="1:17" s="51" customFormat="1" ht="12.75" customHeight="1" x14ac:dyDescent="0.25">
      <c r="A102" s="654"/>
      <c r="B102" s="183"/>
      <c r="C102" s="330" t="str">
        <f>IF(AND(ISBLANK(Worksheet!F18),ISNUMBER(I102),I102=MIN($I$102:$I$107)),"Oldest Child",IF(AND(ISBLANK(Worksheet!F18),ISNUMBER(I102),I102=MAX($I$102:$I$107)),"Youngest Child",IF(AND(ISBLANK(Worksheet!F18),ISNUMBER(I102)),Worksheet!E155,IF(NOT(ISBLANK(Worksheet!F18)),Worksheet!F18,""))))</f>
        <v/>
      </c>
      <c r="D102" s="656"/>
      <c r="E102" s="656"/>
      <c r="F102" s="656"/>
      <c r="G102" s="656"/>
      <c r="H102" s="653" t="str">
        <f t="shared" ref="H102:H107" si="0">IF(ISNUMBER(L19),L19,"")</f>
        <v/>
      </c>
      <c r="I102" s="1454" t="str">
        <f t="shared" ref="I102:I107" si="1">IF(AND(ISNUMBER(L19),L19&lt;=1,NOT(ISNUMBER(M19))),"Year of Age",IF(AND(ISNUMBER(L19),L19&gt;1,NOT(ISNUMBER(M19))),"Years of Age",M19))</f>
        <v/>
      </c>
      <c r="J102" s="1455"/>
      <c r="K102" s="1455"/>
      <c r="L102" s="569" t="str">
        <f ca="1">IF(OR(CustomTaxDeduction,AND(ISNUMBER($I102),L$101&lt;=YEAR(IF(ISNUMBER($I102),$I102,0))+18)),VLOOKUP(TaxAB!$D$13+TaxAB!$K27,TaxAB!$D$27:$J$331,TaxAB!F$24,FALSE),"")</f>
        <v/>
      </c>
      <c r="M102" s="569" t="str">
        <f ca="1">IF(OR(CustomTaxDeduction,AND(ISNUMBER($I102),M$101&lt;=YEAR(IF(ISNUMBER($I102),$I102,0))+18)),VLOOKUP(TaxAB!$D$13+TaxAB!$K27,TaxAB!$D$27:$J$331,TaxAB!G$24,FALSE),"")</f>
        <v/>
      </c>
      <c r="N102" s="569" t="str">
        <f ca="1">IF(OR(CustomTaxDeduction,AND(ISNUMBER($I102),N$101&lt;=YEAR(IF(ISNUMBER($I102),$I102,0))+18)),VLOOKUP(TaxAB!$D$13+TaxAB!$K27,TaxAB!$D$27:$J$331,TaxAB!H$24,FALSE),"")</f>
        <v/>
      </c>
      <c r="O102" s="569" t="str">
        <f ca="1">IF(OR(CustomTaxDeduction,AND(ISNUMBER($I102),O$101&lt;=YEAR(IF(ISNUMBER($I102),$I102,0))+18)),VLOOKUP(TaxAB!$D$13+TaxAB!$K27,TaxAB!$D$27:$J$331,TaxAB!I$24,FALSE),"")</f>
        <v/>
      </c>
      <c r="P102" s="569" t="str">
        <f ca="1">IF(OR(CustomTaxDeduction,AND(ISNUMBER($I102),P$101&lt;=YEAR(IF(ISNUMBER($I102),$I102,0))+18)),VLOOKUP(TaxAB!$D$13+TaxAB!$K27,TaxAB!$D$27:$J$331,TaxAB!J$24,FALSE),"")</f>
        <v/>
      </c>
      <c r="Q102" s="692"/>
    </row>
    <row r="103" spans="1:17" s="51" customFormat="1" x14ac:dyDescent="0.25">
      <c r="A103" s="654"/>
      <c r="B103" s="183"/>
      <c r="C103" s="330" t="str">
        <f>IF(AND(ISBLANK(Worksheet!F19),ISNUMBER(I103),I103=MIN($I$102:$I$107)),"Oldest Child",IF(AND(ISBLANK(Worksheet!F19),ISNUMBER(I103),I103=MAX($I$102:$I$107)),"Youngest Child",IF(AND(ISBLANK(Worksheet!F19),ISNUMBER(I103)),Worksheet!E156,IF(NOT(ISBLANK(Worksheet!F19)),Worksheet!F19,""))))</f>
        <v/>
      </c>
      <c r="D103" s="656"/>
      <c r="E103" s="656"/>
      <c r="F103" s="656"/>
      <c r="G103" s="656"/>
      <c r="H103" s="331" t="str">
        <f t="shared" si="0"/>
        <v/>
      </c>
      <c r="I103" s="1454" t="str">
        <f t="shared" si="1"/>
        <v/>
      </c>
      <c r="J103" s="1455"/>
      <c r="K103" s="1455"/>
      <c r="L103" s="569" t="str">
        <f ca="1">IF(OR(CustomTaxDeduction,AND(ISNUMBER($I103),L$101&lt;=YEAR(IF(ISNUMBER($I103),$I103,0))+18)),VLOOKUP(TaxAB!$D$13+TaxAB!$K28,TaxAB!$D$27:$J$331,TaxAB!F$24,FALSE),"")</f>
        <v/>
      </c>
      <c r="M103" s="569" t="str">
        <f ca="1">IF(OR(CustomTaxDeduction,AND(ISNUMBER($I103),M$101&lt;=YEAR(IF(ISNUMBER($I103),$I103,0))+18)),VLOOKUP(TaxAB!$D$13+TaxAB!$K28,TaxAB!$D$27:$J$331,TaxAB!G$24,FALSE),"")</f>
        <v/>
      </c>
      <c r="N103" s="569" t="str">
        <f ca="1">IF(OR(CustomTaxDeduction,AND(ISNUMBER($I103),N$101&lt;=YEAR(IF(ISNUMBER($I103),$I103,0))+18)),VLOOKUP(TaxAB!$D$13+TaxAB!$K28,TaxAB!$D$27:$J$331,TaxAB!H$24,FALSE),"")</f>
        <v/>
      </c>
      <c r="O103" s="569" t="str">
        <f ca="1">IF(OR(CustomTaxDeduction,AND(ISNUMBER($I103),O$101&lt;=YEAR(IF(ISNUMBER($I103),$I103,0))+18)),VLOOKUP(TaxAB!$D$13+TaxAB!$K28,TaxAB!$D$27:$J$331,TaxAB!I$24,FALSE),"")</f>
        <v/>
      </c>
      <c r="P103" s="569" t="str">
        <f ca="1">IF(OR(CustomTaxDeduction,AND(ISNUMBER($I103),P$101&lt;=YEAR(IF(ISNUMBER($I103),$I103,0))+18)),VLOOKUP(TaxAB!$D$13+TaxAB!$K28,TaxAB!$D$27:$J$331,TaxAB!J$24,FALSE),"")</f>
        <v/>
      </c>
      <c r="Q103" s="692"/>
    </row>
    <row r="104" spans="1:17" s="51" customFormat="1" x14ac:dyDescent="0.25">
      <c r="A104" s="654"/>
      <c r="B104" s="183"/>
      <c r="C104" s="330" t="str">
        <f>IF(AND(ISBLANK(Worksheet!F20),ISNUMBER(I104),I104=MIN($I$102:$I$107)),"Oldest Child",IF(AND(ISBLANK(Worksheet!F20),ISNUMBER(I104),I104=MAX($I$102:$I$107)),"Youngest Child",IF(AND(ISBLANK(Worksheet!F20),ISNUMBER(I104)),Worksheet!E157,IF(NOT(ISBLANK(Worksheet!F20)),Worksheet!F20,""))))</f>
        <v/>
      </c>
      <c r="D104" s="656"/>
      <c r="E104" s="656"/>
      <c r="F104" s="656"/>
      <c r="G104" s="656"/>
      <c r="H104" s="331" t="str">
        <f t="shared" si="0"/>
        <v/>
      </c>
      <c r="I104" s="1454" t="str">
        <f t="shared" si="1"/>
        <v/>
      </c>
      <c r="J104" s="1455"/>
      <c r="K104" s="1455"/>
      <c r="L104" s="569" t="str">
        <f ca="1">IF(OR(CustomTaxDeduction,AND(ISNUMBER($I104),L$101&lt;=YEAR(IF(ISNUMBER($I104),$I104,0))+18)),VLOOKUP(TaxAB!$D$13+TaxAB!$K29,TaxAB!$D$27:$J$331,TaxAB!F$24,FALSE),"")</f>
        <v/>
      </c>
      <c r="M104" s="569" t="str">
        <f ca="1">IF(OR(CustomTaxDeduction,AND(ISNUMBER($I104),M$101&lt;=YEAR(IF(ISNUMBER($I104),$I104,0))+18)),VLOOKUP(TaxAB!$D$13+TaxAB!$K29,TaxAB!$D$27:$J$331,TaxAB!G$24,FALSE),"")</f>
        <v/>
      </c>
      <c r="N104" s="569" t="str">
        <f ca="1">IF(OR(CustomTaxDeduction,AND(ISNUMBER($I104),N$101&lt;=YEAR(IF(ISNUMBER($I104),$I104,0))+18)),VLOOKUP(TaxAB!$D$13+TaxAB!$K29,TaxAB!$D$27:$J$331,TaxAB!H$24,FALSE),"")</f>
        <v/>
      </c>
      <c r="O104" s="569" t="str">
        <f ca="1">IF(OR(CustomTaxDeduction,AND(ISNUMBER($I104),O$101&lt;=YEAR(IF(ISNUMBER($I104),$I104,0))+18)),VLOOKUP(TaxAB!$D$13+TaxAB!$K29,TaxAB!$D$27:$J$331,TaxAB!I$24,FALSE),"")</f>
        <v/>
      </c>
      <c r="P104" s="569" t="str">
        <f ca="1">IF(OR(CustomTaxDeduction,AND(ISNUMBER($I104),P$101&lt;=YEAR(IF(ISNUMBER($I104),$I104,0))+18)),VLOOKUP(TaxAB!$D$13+TaxAB!$K29,TaxAB!$D$27:$J$331,TaxAB!J$24,FALSE),"")</f>
        <v/>
      </c>
      <c r="Q104" s="692"/>
    </row>
    <row r="105" spans="1:17" s="51" customFormat="1" x14ac:dyDescent="0.25">
      <c r="A105" s="654"/>
      <c r="B105" s="183"/>
      <c r="C105" s="330" t="str">
        <f>IF(AND(ISBLANK(Worksheet!F21),ISNUMBER(I105),I105=MIN($I$102:$I$107)),"Oldest Child",IF(AND(ISBLANK(Worksheet!F21),ISNUMBER(I105),I105=MAX($I$102:$I$107)),"Youngest Child",IF(AND(ISBLANK(Worksheet!F21),ISNUMBER(I105)),Worksheet!E158,IF(NOT(ISBLANK(Worksheet!F21)),Worksheet!F21,""))))</f>
        <v/>
      </c>
      <c r="D105" s="656"/>
      <c r="E105" s="656"/>
      <c r="F105" s="656"/>
      <c r="G105" s="656"/>
      <c r="H105" s="331" t="str">
        <f t="shared" si="0"/>
        <v/>
      </c>
      <c r="I105" s="1454" t="str">
        <f t="shared" si="1"/>
        <v/>
      </c>
      <c r="J105" s="1455"/>
      <c r="K105" s="1455"/>
      <c r="L105" s="569" t="str">
        <f ca="1">IF(OR(CustomTaxDeduction,AND(ISNUMBER($I105),L$101&lt;=YEAR(IF(ISNUMBER($I105),$I105,0))+18)),VLOOKUP(TaxAB!$D$13+TaxAB!$K30,TaxAB!$D$27:$J$331,TaxAB!F$24,FALSE),"")</f>
        <v/>
      </c>
      <c r="M105" s="569" t="str">
        <f ca="1">IF(OR(CustomTaxDeduction,AND(ISNUMBER($I105),M$101&lt;=YEAR(IF(ISNUMBER($I105),$I105,0))+18)),VLOOKUP(TaxAB!$D$13+TaxAB!$K30,TaxAB!$D$27:$J$331,TaxAB!G$24,FALSE),"")</f>
        <v/>
      </c>
      <c r="N105" s="569" t="str">
        <f ca="1">IF(OR(CustomTaxDeduction,AND(ISNUMBER($I105),N$101&lt;=YEAR(IF(ISNUMBER($I105),$I105,0))+18)),VLOOKUP(TaxAB!$D$13+TaxAB!$K30,TaxAB!$D$27:$J$331,TaxAB!H$24,FALSE),"")</f>
        <v/>
      </c>
      <c r="O105" s="569" t="str">
        <f ca="1">IF(OR(CustomTaxDeduction,AND(ISNUMBER($I105),O$101&lt;=YEAR(IF(ISNUMBER($I105),$I105,0))+18)),VLOOKUP(TaxAB!$D$13+TaxAB!$K30,TaxAB!$D$27:$J$331,TaxAB!I$24,FALSE),"")</f>
        <v/>
      </c>
      <c r="P105" s="569" t="str">
        <f ca="1">IF(OR(CustomTaxDeduction,AND(ISNUMBER($I105),P$101&lt;=YEAR(IF(ISNUMBER($I105),$I105,0))+18)),VLOOKUP(TaxAB!$D$13+TaxAB!$K30,TaxAB!$D$27:$J$331,TaxAB!J$24,FALSE),"")</f>
        <v/>
      </c>
      <c r="Q105" s="692"/>
    </row>
    <row r="106" spans="1:17" s="51" customFormat="1" x14ac:dyDescent="0.25">
      <c r="A106" s="654"/>
      <c r="B106" s="183"/>
      <c r="C106" s="330" t="str">
        <f>IF(AND(ISBLANK(Worksheet!F22),ISNUMBER(I106),I106=MIN($I$102:$I$107)),"Oldest Child",IF(AND(ISBLANK(Worksheet!F22),ISNUMBER(I106),I106=MAX($I$102:$I$107)),"Youngest Child",IF(AND(ISBLANK(Worksheet!F22),ISNUMBER(I106)),Worksheet!E159,IF(NOT(ISBLANK(Worksheet!F22)),Worksheet!F22,""))))</f>
        <v/>
      </c>
      <c r="D106" s="656"/>
      <c r="E106" s="656"/>
      <c r="F106" s="656"/>
      <c r="G106" s="656"/>
      <c r="H106" s="331" t="str">
        <f t="shared" si="0"/>
        <v/>
      </c>
      <c r="I106" s="1454" t="str">
        <f t="shared" si="1"/>
        <v/>
      </c>
      <c r="J106" s="1455"/>
      <c r="K106" s="1455"/>
      <c r="L106" s="569" t="str">
        <f ca="1">IF(OR(CustomTaxDeduction,AND(ISNUMBER($I106),L$101&lt;=YEAR(IF(ISNUMBER($I106),$I106,0))+18)),VLOOKUP(TaxAB!$D$13+TaxAB!$K31,TaxAB!$D$27:$J$331,TaxAB!F$24,FALSE),"")</f>
        <v/>
      </c>
      <c r="M106" s="569" t="str">
        <f ca="1">IF(OR(CustomTaxDeduction,AND(ISNUMBER($I106),M$101&lt;=YEAR(IF(ISNUMBER($I106),$I106,0))+18)),VLOOKUP(TaxAB!$D$13+TaxAB!$K31,TaxAB!$D$27:$J$331,TaxAB!G$24,FALSE),"")</f>
        <v/>
      </c>
      <c r="N106" s="569" t="str">
        <f ca="1">IF(OR(CustomTaxDeduction,AND(ISNUMBER($I106),N$101&lt;=YEAR(IF(ISNUMBER($I106),$I106,0))+18)),VLOOKUP(TaxAB!$D$13+TaxAB!$K31,TaxAB!$D$27:$J$331,TaxAB!H$24,FALSE),"")</f>
        <v/>
      </c>
      <c r="O106" s="569" t="str">
        <f ca="1">IF(OR(CustomTaxDeduction,AND(ISNUMBER($I106),O$101&lt;=YEAR(IF(ISNUMBER($I106),$I106,0))+18)),VLOOKUP(TaxAB!$D$13+TaxAB!$K31,TaxAB!$D$27:$J$331,TaxAB!I$24,FALSE),"")</f>
        <v/>
      </c>
      <c r="P106" s="569" t="str">
        <f ca="1">IF(OR(CustomTaxDeduction,AND(ISNUMBER($I106),P$101&lt;=YEAR(IF(ISNUMBER($I106),$I106,0))+18)),VLOOKUP(TaxAB!$D$13+TaxAB!$K31,TaxAB!$D$27:$J$331,TaxAB!J$24,FALSE),"")</f>
        <v/>
      </c>
      <c r="Q106" s="692"/>
    </row>
    <row r="107" spans="1:17" s="51" customFormat="1" ht="6.45" customHeight="1" x14ac:dyDescent="0.25">
      <c r="A107" s="654"/>
      <c r="B107" s="183"/>
      <c r="C107" s="330" t="str">
        <f>IF(AND(ISBLANK(Worksheet!F23),ISNUMBER(I107),I107=MIN($I$102:$I$107)),"Oldest Child",IF(AND(ISBLANK(Worksheet!F23),ISNUMBER(I107),I107=MAX($I$102:$I$107)),"Youngest Child",IF(AND(ISBLANK(Worksheet!F23),ISNUMBER(I107)),Worksheet!E160,IF(NOT(ISBLANK(Worksheet!F23)),Worksheet!F23,""))))</f>
        <v/>
      </c>
      <c r="D107" s="656"/>
      <c r="E107" s="656"/>
      <c r="F107" s="656"/>
      <c r="G107" s="656"/>
      <c r="H107" s="331" t="str">
        <f t="shared" si="0"/>
        <v/>
      </c>
      <c r="I107" s="1454" t="str">
        <f t="shared" si="1"/>
        <v/>
      </c>
      <c r="J107" s="1455"/>
      <c r="K107" s="1455"/>
      <c r="L107" s="569" t="str">
        <f ca="1">IF(OR(CustomTaxDeduction,AND(ISNUMBER($I107),L$101&lt;=YEAR(IF(ISNUMBER($I107),$I107,0))+18)),VLOOKUP(TaxAB!$D$13+TaxAB!$K32,TaxAB!$D$27:$J$331,TaxAB!F$24,FALSE),"")</f>
        <v/>
      </c>
      <c r="M107" s="569" t="str">
        <f ca="1">IF(OR(CustomTaxDeduction,AND(ISNUMBER($I107),M$101&lt;=YEAR(IF(ISNUMBER($I107),$I107,0))+18)),VLOOKUP(TaxAB!$D$13+TaxAB!$K32,TaxAB!$D$27:$J$331,TaxAB!G$24,FALSE),"")</f>
        <v/>
      </c>
      <c r="N107" s="569" t="str">
        <f ca="1">IF(OR(CustomTaxDeduction,AND(ISNUMBER($I107),N$101&lt;=YEAR(IF(ISNUMBER($I107),$I107,0))+18)),VLOOKUP(TaxAB!$D$13+TaxAB!$K32,TaxAB!$D$27:$J$331,TaxAB!H$24,FALSE),"")</f>
        <v/>
      </c>
      <c r="O107" s="569" t="str">
        <f ca="1">IF(OR(CustomTaxDeduction,AND(ISNUMBER($I107),O$101&lt;=YEAR(IF(ISNUMBER($I107),$I107,0))+18)),VLOOKUP(TaxAB!$D$13+TaxAB!$K32,TaxAB!$D$27:$J$331,TaxAB!I$24,FALSE),"")</f>
        <v/>
      </c>
      <c r="P107" s="569" t="str">
        <f ca="1">IF(OR(CustomTaxDeduction,AND(ISNUMBER($I107),P$101&lt;=YEAR(IF(ISNUMBER($I107),$I107,0))+18)),VLOOKUP(TaxAB!$D$13+TaxAB!$K32,TaxAB!$D$27:$J$331,TaxAB!J$24,FALSE),"")</f>
        <v/>
      </c>
      <c r="Q107" s="692"/>
    </row>
    <row r="108" spans="1:17" s="240" customFormat="1" ht="12.75" customHeight="1" x14ac:dyDescent="0.25">
      <c r="A108" s="654"/>
      <c r="B108" s="183"/>
      <c r="C108" s="1466" t="s">
        <v>297</v>
      </c>
      <c r="D108" s="1452"/>
      <c r="E108" s="1452"/>
      <c r="F108" s="1452"/>
      <c r="G108" s="1452"/>
      <c r="H108" s="1452"/>
      <c r="I108" s="1452"/>
      <c r="J108" s="1452"/>
      <c r="K108" s="1452"/>
      <c r="L108" s="1452"/>
      <c r="M108" s="1452"/>
      <c r="N108" s="1452"/>
      <c r="O108" s="1452"/>
      <c r="P108" s="1452"/>
      <c r="Q108" s="692"/>
    </row>
    <row r="109" spans="1:17" s="51" customFormat="1" ht="27" customHeight="1" x14ac:dyDescent="0.25">
      <c r="A109" s="654"/>
      <c r="B109" s="183"/>
      <c r="C109" s="1463" t="str">
        <f>IF(Worksheet!U47=1,"For any years following those listed above while this Child Support Order remains in effect, the parties shall repeat the above pattern of claiming tax deductions for the child.","For any years following those listed above while this Child Support Order remains in effect, the parties shall repeat the above pattern of claiming tax deductions for each child.")</f>
        <v>For any years following those listed above while this Child Support Order remains in effect, the parties shall repeat the above pattern of claiming tax deductions for each child.</v>
      </c>
      <c r="D109" s="1411"/>
      <c r="E109" s="1411"/>
      <c r="F109" s="1411"/>
      <c r="G109" s="1411"/>
      <c r="H109" s="1411"/>
      <c r="I109" s="1411"/>
      <c r="J109" s="1411"/>
      <c r="K109" s="1411"/>
      <c r="L109" s="1411"/>
      <c r="M109" s="1411"/>
      <c r="N109" s="1411"/>
      <c r="O109" s="1411"/>
      <c r="P109" s="1411"/>
      <c r="Q109" s="692"/>
    </row>
    <row r="110" spans="1:17" s="51" customFormat="1" ht="25.5" customHeight="1" x14ac:dyDescent="0.25">
      <c r="A110" s="654"/>
      <c r="B110" s="183"/>
      <c r="C110" s="1411" t="str">
        <f>IF(NOT(ISBLANK(Worksheet!$K$149)),"Each year, "&amp;Obligor&amp;" may unconditionally claim any exemptions allocated to "&amp;Obligor&amp;" above for all federal and state income tax purposes.","Each year, "&amp;Obligor&amp;" may claim these exemptions only if "&amp;Obligor&amp;" has paid all child support and arrears ordered for the year by December 31 of that year.")</f>
        <v>Each year, the obligor may claim these exemptions only if the obligor has paid all child support and arrears ordered for the year by December 31 of that year.</v>
      </c>
      <c r="D110" s="1411"/>
      <c r="E110" s="1411"/>
      <c r="F110" s="1411"/>
      <c r="G110" s="1411"/>
      <c r="H110" s="1411"/>
      <c r="I110" s="1411"/>
      <c r="J110" s="1411"/>
      <c r="K110" s="1411"/>
      <c r="L110" s="1411"/>
      <c r="M110" s="1411"/>
      <c r="N110" s="1411"/>
      <c r="O110" s="1411"/>
      <c r="P110" s="1411"/>
      <c r="Q110" s="692"/>
    </row>
    <row r="111" spans="1:17" s="174" customFormat="1" ht="9.75" customHeight="1" x14ac:dyDescent="0.25">
      <c r="A111" s="654"/>
      <c r="B111" s="183"/>
      <c r="C111" s="666"/>
      <c r="D111" s="666"/>
      <c r="E111" s="666"/>
      <c r="F111" s="666"/>
      <c r="G111" s="666"/>
      <c r="H111" s="666"/>
      <c r="I111" s="666"/>
      <c r="J111" s="666"/>
      <c r="K111" s="666"/>
      <c r="L111" s="666"/>
      <c r="M111" s="666"/>
      <c r="N111" s="666"/>
      <c r="O111" s="666"/>
      <c r="P111" s="666"/>
      <c r="Q111" s="692"/>
    </row>
    <row r="112" spans="1:17" s="174" customFormat="1" ht="12.75" customHeight="1" x14ac:dyDescent="0.25">
      <c r="A112" s="654"/>
      <c r="B112" s="678" t="s">
        <v>298</v>
      </c>
      <c r="C112" s="1400" t="s">
        <v>299</v>
      </c>
      <c r="D112" s="1401"/>
      <c r="E112" s="1401"/>
      <c r="F112" s="1401"/>
      <c r="G112" s="1401"/>
      <c r="H112" s="1401"/>
      <c r="I112" s="1401"/>
      <c r="J112" s="1401"/>
      <c r="K112" s="1401"/>
      <c r="L112" s="1401"/>
      <c r="M112" s="1401"/>
      <c r="N112" s="1401"/>
      <c r="O112" s="1401"/>
      <c r="P112" s="1401"/>
      <c r="Q112" s="692"/>
    </row>
    <row r="113" spans="1:17" s="174" customFormat="1" ht="26.25" customHeight="1" x14ac:dyDescent="0.25">
      <c r="A113" s="654"/>
      <c r="B113" s="183"/>
      <c r="C113" s="1407" t="s">
        <v>300</v>
      </c>
      <c r="D113" s="1456"/>
      <c r="E113" s="1456"/>
      <c r="F113" s="1456"/>
      <c r="G113" s="1456"/>
      <c r="H113" s="1456"/>
      <c r="I113" s="1456"/>
      <c r="J113" s="1456"/>
      <c r="K113" s="1456"/>
      <c r="L113" s="1456"/>
      <c r="M113" s="1456"/>
      <c r="N113" s="1456"/>
      <c r="O113" s="1456"/>
      <c r="P113" s="1456"/>
      <c r="Q113" s="692"/>
    </row>
    <row r="114" spans="1:17" s="352" customFormat="1" ht="9.75" customHeight="1" x14ac:dyDescent="0.25">
      <c r="A114" s="654"/>
      <c r="B114" s="183"/>
      <c r="C114" s="669"/>
      <c r="D114" s="666"/>
      <c r="E114" s="666"/>
      <c r="F114" s="666"/>
      <c r="G114" s="666"/>
      <c r="H114" s="666"/>
      <c r="I114" s="666"/>
      <c r="J114" s="666"/>
      <c r="K114" s="666"/>
      <c r="L114" s="666"/>
      <c r="M114" s="666"/>
      <c r="N114" s="666"/>
      <c r="O114" s="666"/>
      <c r="P114" s="666"/>
      <c r="Q114" s="692"/>
    </row>
    <row r="115" spans="1:17" s="352" customFormat="1" ht="26.25" customHeight="1" x14ac:dyDescent="0.25">
      <c r="A115" s="654"/>
      <c r="B115" s="678" t="s">
        <v>301</v>
      </c>
      <c r="C115" s="1490" t="s">
        <v>302</v>
      </c>
      <c r="D115" s="1490"/>
      <c r="E115" s="1490"/>
      <c r="F115" s="1490"/>
      <c r="G115" s="1490"/>
      <c r="H115" s="1490"/>
      <c r="I115" s="1490"/>
      <c r="J115" s="1490"/>
      <c r="K115" s="1490"/>
      <c r="L115" s="1490"/>
      <c r="M115" s="1490"/>
      <c r="N115" s="1490"/>
      <c r="O115" s="1490"/>
      <c r="P115" s="1490"/>
      <c r="Q115" s="692"/>
    </row>
    <row r="116" spans="1:17" s="174" customFormat="1" ht="9.75" customHeight="1" x14ac:dyDescent="0.25">
      <c r="A116" s="654"/>
      <c r="B116" s="183"/>
      <c r="C116" s="1411"/>
      <c r="D116" s="1411"/>
      <c r="E116" s="1411"/>
      <c r="F116" s="1411"/>
      <c r="G116" s="1411"/>
      <c r="H116" s="1411"/>
      <c r="I116" s="1411"/>
      <c r="J116" s="1411"/>
      <c r="K116" s="1411"/>
      <c r="L116" s="1411"/>
      <c r="M116" s="1411"/>
      <c r="N116" s="1411"/>
      <c r="O116" s="1411"/>
      <c r="P116" s="1411"/>
      <c r="Q116" s="692"/>
    </row>
    <row r="117" spans="1:17" s="51" customFormat="1" x14ac:dyDescent="0.25">
      <c r="A117" s="654"/>
      <c r="B117" s="1489" t="s">
        <v>303</v>
      </c>
      <c r="C117" s="1489"/>
      <c r="D117" s="1489"/>
      <c r="E117" s="1489"/>
      <c r="F117" s="1489"/>
      <c r="G117" s="1489"/>
      <c r="H117" s="1489"/>
      <c r="I117" s="1489"/>
      <c r="J117" s="1489"/>
      <c r="K117" s="1489"/>
      <c r="L117" s="1489"/>
      <c r="M117" s="1489"/>
      <c r="N117" s="1489"/>
      <c r="O117" s="1489"/>
      <c r="P117" s="1489"/>
      <c r="Q117" s="692"/>
    </row>
    <row r="118" spans="1:17" s="51" customFormat="1" ht="9.75" customHeight="1" x14ac:dyDescent="0.25">
      <c r="A118" s="654"/>
      <c r="B118" s="183"/>
      <c r="C118" s="674"/>
      <c r="D118" s="674"/>
      <c r="E118" s="674"/>
      <c r="F118" s="674"/>
      <c r="G118" s="674"/>
      <c r="H118" s="674"/>
      <c r="I118" s="674"/>
      <c r="J118" s="674"/>
      <c r="K118" s="674"/>
      <c r="L118" s="674"/>
      <c r="M118" s="674"/>
      <c r="N118" s="674"/>
      <c r="O118" s="674"/>
      <c r="P118" s="674"/>
      <c r="Q118" s="692"/>
    </row>
    <row r="119" spans="1:17" s="51" customFormat="1" ht="12.75" customHeight="1" x14ac:dyDescent="0.25">
      <c r="A119" s="654"/>
      <c r="B119" s="678" t="s">
        <v>304</v>
      </c>
      <c r="C119" s="1453" t="s">
        <v>305</v>
      </c>
      <c r="D119" s="1401"/>
      <c r="E119" s="1401"/>
      <c r="F119" s="1401"/>
      <c r="G119" s="1401"/>
      <c r="H119" s="1401"/>
      <c r="I119" s="1401"/>
      <c r="J119" s="1401"/>
      <c r="K119" s="1401"/>
      <c r="L119" s="1401"/>
      <c r="M119" s="1401"/>
      <c r="N119" s="1401"/>
      <c r="O119" s="1401"/>
      <c r="P119" s="1401"/>
      <c r="Q119" s="692"/>
    </row>
    <row r="120" spans="1:17" s="174" customFormat="1" ht="12.75" customHeight="1" x14ac:dyDescent="0.25">
      <c r="A120" s="654"/>
      <c r="B120" s="678"/>
      <c r="C120" s="1457" t="s">
        <v>306</v>
      </c>
      <c r="D120" s="1456"/>
      <c r="E120" s="1456"/>
      <c r="F120" s="1456"/>
      <c r="G120" s="1456"/>
      <c r="H120" s="1456"/>
      <c r="I120" s="1456"/>
      <c r="J120" s="1456"/>
      <c r="K120" s="1456"/>
      <c r="L120" s="1456"/>
      <c r="M120" s="1456"/>
      <c r="N120" s="1456"/>
      <c r="O120" s="1456"/>
      <c r="P120" s="1456"/>
      <c r="Q120" s="692"/>
    </row>
    <row r="121" spans="1:17" s="174" customFormat="1" ht="9.75" customHeight="1" x14ac:dyDescent="0.25">
      <c r="A121" s="654"/>
      <c r="B121" s="678"/>
      <c r="C121" s="183"/>
      <c r="D121" s="183"/>
      <c r="E121" s="183"/>
      <c r="F121" s="183"/>
      <c r="G121" s="674"/>
      <c r="H121" s="674"/>
      <c r="I121" s="663"/>
      <c r="J121" s="674"/>
      <c r="K121" s="674"/>
      <c r="L121" s="674"/>
      <c r="M121" s="674"/>
      <c r="N121" s="674"/>
      <c r="O121" s="674"/>
      <c r="P121" s="674"/>
      <c r="Q121" s="692"/>
    </row>
    <row r="122" spans="1:17" s="51" customFormat="1" x14ac:dyDescent="0.25">
      <c r="A122" s="654"/>
      <c r="B122" s="678" t="s">
        <v>307</v>
      </c>
      <c r="C122" s="1453" t="s">
        <v>308</v>
      </c>
      <c r="D122" s="1401"/>
      <c r="E122" s="1401"/>
      <c r="F122" s="1401"/>
      <c r="G122" s="1401"/>
      <c r="H122" s="1401"/>
      <c r="I122" s="1401"/>
      <c r="J122" s="1401"/>
      <c r="K122" s="1401"/>
      <c r="L122" s="1401"/>
      <c r="M122" s="1401"/>
      <c r="N122" s="1401"/>
      <c r="O122" s="1401"/>
      <c r="P122" s="1401"/>
      <c r="Q122" s="692"/>
    </row>
    <row r="123" spans="1:17" s="51" customFormat="1" ht="52.5" customHeight="1" x14ac:dyDescent="0.25">
      <c r="A123" s="654"/>
      <c r="B123" s="183"/>
      <c r="C123" s="1457" t="s">
        <v>309</v>
      </c>
      <c r="D123" s="1456"/>
      <c r="E123" s="1456"/>
      <c r="F123" s="1456"/>
      <c r="G123" s="1456"/>
      <c r="H123" s="1456"/>
      <c r="I123" s="1456"/>
      <c r="J123" s="1456"/>
      <c r="K123" s="1456"/>
      <c r="L123" s="1456"/>
      <c r="M123" s="1456"/>
      <c r="N123" s="1456"/>
      <c r="O123" s="1456"/>
      <c r="P123" s="1456"/>
      <c r="Q123" s="692"/>
    </row>
    <row r="124" spans="1:17" s="51" customFormat="1" ht="63.75" customHeight="1" x14ac:dyDescent="0.25">
      <c r="A124" s="654"/>
      <c r="B124" s="585" t="str">
        <f>IF(C124="","","15.")</f>
        <v>15.</v>
      </c>
      <c r="C124" s="1458" t="str">
        <f>IF(ISBLANK(Worksheet!E175),"",Worksheet!E175)</f>
        <v>Even though the court’s judgment contains orders that may impact federal taxes, these orders are not binding on the IRS.</v>
      </c>
      <c r="D124" s="1411"/>
      <c r="E124" s="1411"/>
      <c r="F124" s="1411"/>
      <c r="G124" s="1411"/>
      <c r="H124" s="1411"/>
      <c r="I124" s="1411"/>
      <c r="J124" s="1411"/>
      <c r="K124" s="1411"/>
      <c r="L124" s="1411"/>
      <c r="M124" s="1411"/>
      <c r="N124" s="1411"/>
      <c r="O124" s="1411"/>
      <c r="P124" s="1411"/>
      <c r="Q124" s="678"/>
    </row>
    <row r="125" spans="1:17" s="559" customFormat="1" ht="52.5" customHeight="1" x14ac:dyDescent="0.25">
      <c r="A125" s="654"/>
      <c r="B125" s="561" t="str">
        <f>IF(C125="","",IF(C124="","15.","16."))</f>
        <v/>
      </c>
      <c r="C125" s="1410" t="str">
        <f>IF(Worksheet!H91="x",Paragraphs!B201,IF(Worksheet!H92="x",Paragraphs!B202,IF(Worksheet!G93="x",Paragraphs!B203,"")))</f>
        <v/>
      </c>
      <c r="D125" s="1410"/>
      <c r="E125" s="1410"/>
      <c r="F125" s="1410"/>
      <c r="G125" s="1410"/>
      <c r="H125" s="1410"/>
      <c r="I125" s="1410"/>
      <c r="J125" s="1410"/>
      <c r="K125" s="1410"/>
      <c r="L125" s="1410"/>
      <c r="M125" s="1410"/>
      <c r="N125" s="1410"/>
      <c r="O125" s="1410"/>
      <c r="P125" s="1410"/>
      <c r="Q125" s="692"/>
    </row>
    <row r="126" spans="1:17" s="51" customFormat="1" x14ac:dyDescent="0.25">
      <c r="A126" s="654"/>
      <c r="B126" s="1474" t="str">
        <f>IF(Stipulation,"Stipulation.","")</f>
        <v/>
      </c>
      <c r="C126" s="1474"/>
      <c r="D126" s="1474"/>
      <c r="E126" s="1487" t="str">
        <f>IF(Stipulation,"If Stipulation both parties agree to the entry of this order. Signature by both Parties (if applicable):","")</f>
        <v/>
      </c>
      <c r="F126" s="1488"/>
      <c r="G126" s="1488"/>
      <c r="H126" s="1488"/>
      <c r="I126" s="1488"/>
      <c r="J126" s="1488"/>
      <c r="K126" s="1488"/>
      <c r="L126" s="1488"/>
      <c r="M126" s="1488"/>
      <c r="N126" s="1488"/>
      <c r="O126" s="1488"/>
      <c r="P126" s="1488"/>
      <c r="Q126" s="692"/>
    </row>
    <row r="127" spans="1:17" s="51" customFormat="1" ht="26.4" customHeight="1" x14ac:dyDescent="0.25">
      <c r="A127" s="654"/>
      <c r="B127" s="1456" t="str">
        <f>IF(Stipulation,"By signing this document, we state to the Court under penalty of perjury that we read and agree to this Court Order, and that all the information contained in it is true, correct, and complete to the best of our knowledge and belief.","")</f>
        <v/>
      </c>
      <c r="C127" s="1456"/>
      <c r="D127" s="1456"/>
      <c r="E127" s="1456"/>
      <c r="F127" s="1456"/>
      <c r="G127" s="1456"/>
      <c r="H127" s="1456"/>
      <c r="I127" s="1456"/>
      <c r="J127" s="1456"/>
      <c r="K127" s="1456"/>
      <c r="L127" s="1456"/>
      <c r="M127" s="1456"/>
      <c r="N127" s="1456"/>
      <c r="O127" s="1456"/>
      <c r="P127" s="1456"/>
      <c r="Q127" s="692"/>
    </row>
    <row r="128" spans="1:17" s="51" customFormat="1" ht="30" customHeight="1" x14ac:dyDescent="0.25">
      <c r="A128" s="654"/>
      <c r="B128" s="1451" t="str">
        <f>IF(Stipulation," ","")</f>
        <v/>
      </c>
      <c r="C128" s="1451"/>
      <c r="D128" s="1451"/>
      <c r="E128" s="1451"/>
      <c r="F128" s="1451"/>
      <c r="G128" s="1451"/>
      <c r="H128" s="1451"/>
      <c r="I128" s="1451"/>
      <c r="J128" s="1451"/>
      <c r="K128" s="1451"/>
      <c r="L128" s="672"/>
      <c r="M128" s="1451" t="str">
        <f>IF(Stipulation," ","")</f>
        <v/>
      </c>
      <c r="N128" s="1451"/>
      <c r="O128" s="1451"/>
      <c r="P128" s="1451"/>
      <c r="Q128" s="692"/>
    </row>
    <row r="129" spans="1:17" s="51" customFormat="1" x14ac:dyDescent="0.25">
      <c r="A129" s="654"/>
      <c r="B129" s="1440" t="str">
        <f>IF(Stipulation,Worksheet!F12,"")</f>
        <v/>
      </c>
      <c r="C129" s="1440"/>
      <c r="D129" s="1440"/>
      <c r="E129" s="1440"/>
      <c r="F129" s="1440"/>
      <c r="G129" s="1440"/>
      <c r="H129" s="1440"/>
      <c r="I129" s="586"/>
      <c r="J129" s="1455" t="str">
        <f>IF(Stipulation,"Date","")</f>
        <v/>
      </c>
      <c r="K129" s="1455"/>
      <c r="L129" s="656"/>
      <c r="M129" s="1463" t="str">
        <f>IF(Stipulation,Worksheet!F14,"")</f>
        <v/>
      </c>
      <c r="N129" s="1465"/>
      <c r="O129" s="1465"/>
      <c r="P129" s="672" t="str">
        <f>IF(Stipulation,"Date","")</f>
        <v/>
      </c>
      <c r="Q129" s="692"/>
    </row>
    <row r="130" spans="1:17" s="51" customFormat="1" ht="30" customHeight="1" x14ac:dyDescent="0.25">
      <c r="A130" s="654"/>
      <c r="B130" s="1451" t="str">
        <f>IF(AND(Stipulation,NOT(ISBLANK(Worksheet!I177)))," ","")</f>
        <v/>
      </c>
      <c r="C130" s="1451"/>
      <c r="D130" s="1451"/>
      <c r="E130" s="1451"/>
      <c r="F130" s="1451"/>
      <c r="G130" s="1451"/>
      <c r="H130" s="1451"/>
      <c r="I130" s="1451"/>
      <c r="J130" s="1451"/>
      <c r="K130" s="1451"/>
      <c r="L130" s="672"/>
      <c r="M130" s="1451" t="str">
        <f>IF(AND(Stipulation,NOT(ISBLANK(Worksheet!I177)))," ","")</f>
        <v/>
      </c>
      <c r="N130" s="1451"/>
      <c r="O130" s="1451"/>
      <c r="P130" s="1451"/>
      <c r="Q130" s="692"/>
    </row>
    <row r="131" spans="1:17" s="51" customFormat="1" x14ac:dyDescent="0.25">
      <c r="A131" s="654"/>
      <c r="B131" s="1440" t="str">
        <f>IF(AND(Stipulation,NOT(ISBLANK(Worksheet!I177))),"Petitioner's Attorney","")</f>
        <v/>
      </c>
      <c r="C131" s="1440"/>
      <c r="D131" s="1440"/>
      <c r="E131" s="1440"/>
      <c r="F131" s="1440"/>
      <c r="G131" s="1440"/>
      <c r="H131" s="1440"/>
      <c r="I131" s="1440"/>
      <c r="J131" s="1455" t="str">
        <f>IF(AND(Stipulation,NOT(ISBLANK(Worksheet!I177))),"Date","")</f>
        <v/>
      </c>
      <c r="K131" s="1455"/>
      <c r="L131" s="656"/>
      <c r="M131" s="1463" t="str">
        <f>IF(AND(Stipulation,NOT(ISBLANK(Worksheet!I177))),"Respondent's Attorney","")</f>
        <v/>
      </c>
      <c r="N131" s="1464"/>
      <c r="O131" s="1464"/>
      <c r="P131" s="672" t="str">
        <f>IF(AND(Stipulation,NOT(ISBLANK(Worksheet!I177))),"Date","")</f>
        <v/>
      </c>
      <c r="Q131" s="692"/>
    </row>
    <row r="132" spans="1:17" s="51" customFormat="1" ht="30" customHeight="1" x14ac:dyDescent="0.25">
      <c r="A132" s="654"/>
      <c r="B132" s="1398">
        <f ca="1">OrderDate</f>
        <v>44925</v>
      </c>
      <c r="C132" s="1398"/>
      <c r="D132" s="1398"/>
      <c r="E132" s="1398"/>
      <c r="F132" s="1398"/>
      <c r="G132" s="1398"/>
      <c r="H132" s="1398"/>
      <c r="I132" s="1398"/>
      <c r="J132" s="1398"/>
      <c r="K132" s="1398"/>
      <c r="L132" s="672"/>
      <c r="M132" s="1447"/>
      <c r="N132" s="1448"/>
      <c r="O132" s="1448"/>
      <c r="P132" s="1448"/>
      <c r="Q132" s="692"/>
    </row>
    <row r="133" spans="1:17" x14ac:dyDescent="0.25">
      <c r="A133" s="654"/>
      <c r="B133" s="1446" t="s">
        <v>310</v>
      </c>
      <c r="C133" s="1446"/>
      <c r="D133" s="1446"/>
      <c r="E133" s="1446"/>
      <c r="F133" s="1446"/>
      <c r="G133" s="1446"/>
      <c r="H133" s="1446"/>
      <c r="I133" s="1446"/>
      <c r="J133" s="1446"/>
      <c r="K133" s="1446"/>
      <c r="L133" s="682"/>
      <c r="M133" s="1449" t="str">
        <f>IF(NOT(ISBLANK(Worksheet!Q184)),Worksheet!Q184,Worksheet!Q183)</f>
        <v>Judicial Officer</v>
      </c>
      <c r="N133" s="1450"/>
      <c r="O133" s="1450"/>
      <c r="P133" s="1450"/>
      <c r="Q133" s="590"/>
    </row>
    <row r="134" spans="1:17" ht="13.2" customHeight="1" x14ac:dyDescent="0.25">
      <c r="A134" s="200"/>
      <c r="B134" s="142"/>
      <c r="C134" s="654"/>
      <c r="D134" s="654"/>
      <c r="E134" s="654"/>
      <c r="F134" s="654"/>
      <c r="G134" s="654"/>
      <c r="H134" s="654"/>
      <c r="I134" s="654"/>
      <c r="J134" s="654"/>
      <c r="K134" s="654"/>
      <c r="L134" s="613"/>
      <c r="M134" s="613"/>
      <c r="N134" s="613"/>
      <c r="O134" s="613"/>
      <c r="P134" s="613"/>
      <c r="Q134" s="590"/>
    </row>
    <row r="135" spans="1:17" x14ac:dyDescent="0.25">
      <c r="A135" s="592"/>
      <c r="B135" s="55"/>
      <c r="C135" s="43"/>
      <c r="D135" s="43"/>
      <c r="E135" s="43"/>
      <c r="F135" s="43"/>
      <c r="G135" s="43"/>
      <c r="H135" s="43"/>
      <c r="I135" s="43"/>
      <c r="J135" s="43"/>
      <c r="K135" s="43"/>
      <c r="L135" s="43"/>
      <c r="M135" s="592"/>
      <c r="N135" s="592"/>
      <c r="O135" s="592"/>
      <c r="P135" s="592"/>
      <c r="Q135" s="592"/>
    </row>
    <row r="136" spans="1:17" x14ac:dyDescent="0.25">
      <c r="A136" s="592"/>
      <c r="B136" s="55"/>
      <c r="C136" s="43"/>
      <c r="D136" s="43"/>
      <c r="E136" s="43"/>
      <c r="F136" s="43"/>
      <c r="G136" s="43"/>
      <c r="H136" s="43"/>
      <c r="I136" s="43"/>
      <c r="J136" s="43"/>
      <c r="K136" s="43"/>
      <c r="L136" s="43"/>
      <c r="M136" s="592"/>
      <c r="N136" s="592"/>
      <c r="O136" s="592"/>
      <c r="P136" s="592"/>
      <c r="Q136" s="592"/>
    </row>
    <row r="137" spans="1:17" x14ac:dyDescent="0.25">
      <c r="A137" s="592"/>
      <c r="B137" s="55"/>
      <c r="C137" s="43"/>
      <c r="D137" s="43"/>
      <c r="E137" s="43"/>
      <c r="F137" s="43"/>
      <c r="G137" s="43"/>
      <c r="H137" s="43"/>
      <c r="I137" s="43"/>
      <c r="J137" s="43"/>
      <c r="K137" s="43"/>
      <c r="L137" s="43"/>
      <c r="M137" s="592"/>
      <c r="N137" s="592"/>
      <c r="O137" s="592"/>
      <c r="P137" s="592"/>
      <c r="Q137" s="592"/>
    </row>
    <row r="138" spans="1:17" x14ac:dyDescent="0.25">
      <c r="A138" s="592"/>
      <c r="B138" s="55"/>
      <c r="C138" s="43"/>
      <c r="D138" s="43"/>
      <c r="E138" s="43"/>
      <c r="F138" s="43"/>
      <c r="G138" s="43"/>
      <c r="H138" s="43"/>
      <c r="I138" s="43"/>
      <c r="J138" s="43"/>
      <c r="K138" s="43"/>
      <c r="L138" s="43"/>
      <c r="M138" s="592"/>
      <c r="N138" s="592"/>
      <c r="O138" s="592"/>
      <c r="P138" s="592"/>
      <c r="Q138" s="592"/>
    </row>
    <row r="139" spans="1:17" x14ac:dyDescent="0.25">
      <c r="A139" s="592"/>
      <c r="B139" s="55"/>
      <c r="C139" s="43"/>
      <c r="D139" s="43"/>
      <c r="E139" s="43"/>
      <c r="F139" s="43"/>
      <c r="G139" s="43"/>
      <c r="H139" s="43"/>
      <c r="I139" s="43"/>
      <c r="J139" s="43"/>
      <c r="K139" s="43"/>
      <c r="L139" s="43"/>
      <c r="M139" s="592"/>
      <c r="N139" s="592"/>
      <c r="O139" s="592"/>
      <c r="P139" s="592"/>
      <c r="Q139" s="592"/>
    </row>
    <row r="140" spans="1:17" x14ac:dyDescent="0.25">
      <c r="A140" s="592"/>
      <c r="B140" s="55"/>
      <c r="C140" s="43"/>
      <c r="D140" s="43"/>
      <c r="E140" s="43"/>
      <c r="F140" s="43"/>
      <c r="G140" s="43"/>
      <c r="H140" s="43"/>
      <c r="I140" s="43"/>
      <c r="J140" s="43"/>
      <c r="K140" s="43"/>
      <c r="L140" s="43"/>
      <c r="M140" s="592"/>
      <c r="N140" s="592"/>
      <c r="O140" s="592"/>
      <c r="P140" s="592"/>
      <c r="Q140" s="592"/>
    </row>
    <row r="141" spans="1:17" x14ac:dyDescent="0.25">
      <c r="A141" s="592"/>
      <c r="B141" s="55"/>
      <c r="C141" s="43"/>
      <c r="D141" s="43"/>
      <c r="E141" s="43"/>
      <c r="F141" s="43"/>
      <c r="G141" s="43"/>
      <c r="H141" s="43"/>
      <c r="I141" s="43"/>
      <c r="J141" s="43"/>
      <c r="K141" s="43"/>
      <c r="L141" s="43"/>
      <c r="M141" s="592"/>
      <c r="N141" s="592"/>
      <c r="O141" s="592"/>
      <c r="P141" s="592"/>
      <c r="Q141" s="592"/>
    </row>
  </sheetData>
  <sheetProtection algorithmName="SHA-512" hashValue="cIsjBY6G0znVnp2mpaAqRgTmzCQ4xoggHGtiKk/bZHc1+BYRCjJIfuZTCKTo5Nv2sgabjWar2iQ534J/Sw4/Bw==" saltValue="OPjkkS2utUTRTzG0t1EUEw==" spinCount="100000" sheet="1"/>
  <mergeCells count="170">
    <mergeCell ref="C125:P125"/>
    <mergeCell ref="C77:P77"/>
    <mergeCell ref="C80:P80"/>
    <mergeCell ref="D66:M66"/>
    <mergeCell ref="D68:M68"/>
    <mergeCell ref="C72:P72"/>
    <mergeCell ref="C115:P115"/>
    <mergeCell ref="B129:H129"/>
    <mergeCell ref="J129:K129"/>
    <mergeCell ref="C90:P90"/>
    <mergeCell ref="C99:P99"/>
    <mergeCell ref="I89:K89"/>
    <mergeCell ref="C89:H89"/>
    <mergeCell ref="C93:H93"/>
    <mergeCell ref="I93:K93"/>
    <mergeCell ref="C88:P88"/>
    <mergeCell ref="C92:P92"/>
    <mergeCell ref="C94:P94"/>
    <mergeCell ref="I104:K104"/>
    <mergeCell ref="I105:K105"/>
    <mergeCell ref="C85:P85"/>
    <mergeCell ref="C109:P109"/>
    <mergeCell ref="C86:P86"/>
    <mergeCell ref="C91:P91"/>
    <mergeCell ref="O96:P96"/>
    <mergeCell ref="C82:P82"/>
    <mergeCell ref="C123:P123"/>
    <mergeCell ref="B132:K132"/>
    <mergeCell ref="C58:E58"/>
    <mergeCell ref="D64:M64"/>
    <mergeCell ref="O55:P55"/>
    <mergeCell ref="C55:L55"/>
    <mergeCell ref="I57:P57"/>
    <mergeCell ref="M55:N55"/>
    <mergeCell ref="I106:K106"/>
    <mergeCell ref="B128:K128"/>
    <mergeCell ref="C73:P73"/>
    <mergeCell ref="M62:N62"/>
    <mergeCell ref="M59:N59"/>
    <mergeCell ref="C60:P60"/>
    <mergeCell ref="B126:D126"/>
    <mergeCell ref="E126:P126"/>
    <mergeCell ref="C110:P110"/>
    <mergeCell ref="B117:P117"/>
    <mergeCell ref="C76:H76"/>
    <mergeCell ref="C75:H75"/>
    <mergeCell ref="I76:P76"/>
    <mergeCell ref="C74:H74"/>
    <mergeCell ref="C108:P108"/>
    <mergeCell ref="I74:P74"/>
    <mergeCell ref="C100:H101"/>
    <mergeCell ref="C83:P83"/>
    <mergeCell ref="I100:K101"/>
    <mergeCell ref="O51:P51"/>
    <mergeCell ref="C37:J37"/>
    <mergeCell ref="C40:E40"/>
    <mergeCell ref="F40:P40"/>
    <mergeCell ref="C44:E44"/>
    <mergeCell ref="B42:P42"/>
    <mergeCell ref="F44:N44"/>
    <mergeCell ref="C50:G50"/>
    <mergeCell ref="O53:P53"/>
    <mergeCell ref="I75:P75"/>
    <mergeCell ref="C81:P81"/>
    <mergeCell ref="C84:G84"/>
    <mergeCell ref="C78:P78"/>
    <mergeCell ref="B79:P79"/>
    <mergeCell ref="H84:P84"/>
    <mergeCell ref="O59:P59"/>
    <mergeCell ref="C53:K53"/>
    <mergeCell ref="C87:P87"/>
    <mergeCell ref="C54:M54"/>
    <mergeCell ref="B133:K133"/>
    <mergeCell ref="M132:P132"/>
    <mergeCell ref="M133:P133"/>
    <mergeCell ref="M128:P128"/>
    <mergeCell ref="M130:P130"/>
    <mergeCell ref="G98:P98"/>
    <mergeCell ref="C122:P122"/>
    <mergeCell ref="I103:K103"/>
    <mergeCell ref="C113:P113"/>
    <mergeCell ref="I102:K102"/>
    <mergeCell ref="C112:P112"/>
    <mergeCell ref="C119:P119"/>
    <mergeCell ref="C120:P120"/>
    <mergeCell ref="C124:P124"/>
    <mergeCell ref="L100:P100"/>
    <mergeCell ref="C116:P116"/>
    <mergeCell ref="C98:F98"/>
    <mergeCell ref="B127:P127"/>
    <mergeCell ref="M131:O131"/>
    <mergeCell ref="I107:K107"/>
    <mergeCell ref="M129:O129"/>
    <mergeCell ref="B131:I131"/>
    <mergeCell ref="J131:K131"/>
    <mergeCell ref="B130:K130"/>
    <mergeCell ref="M23:N23"/>
    <mergeCell ref="M24:N24"/>
    <mergeCell ref="D20:J20"/>
    <mergeCell ref="D21:J21"/>
    <mergeCell ref="D22:J22"/>
    <mergeCell ref="D23:J23"/>
    <mergeCell ref="D24:J24"/>
    <mergeCell ref="E69:M69"/>
    <mergeCell ref="C71:P71"/>
    <mergeCell ref="I61:N61"/>
    <mergeCell ref="C62:L62"/>
    <mergeCell ref="D65:M65"/>
    <mergeCell ref="O45:P45"/>
    <mergeCell ref="C51:K51"/>
    <mergeCell ref="O37:P37"/>
    <mergeCell ref="B45:L45"/>
    <mergeCell ref="M45:N45"/>
    <mergeCell ref="F30:P30"/>
    <mergeCell ref="C36:G36"/>
    <mergeCell ref="O36:P36"/>
    <mergeCell ref="D67:M67"/>
    <mergeCell ref="F58:L58"/>
    <mergeCell ref="N58:P58"/>
    <mergeCell ref="C59:L59"/>
    <mergeCell ref="O54:P54"/>
    <mergeCell ref="C57:H57"/>
    <mergeCell ref="C52:P52"/>
    <mergeCell ref="C39:E39"/>
    <mergeCell ref="F39:P39"/>
    <mergeCell ref="K37:L37"/>
    <mergeCell ref="M37:N37"/>
    <mergeCell ref="O48:P48"/>
    <mergeCell ref="M53:N53"/>
    <mergeCell ref="H50:N50"/>
    <mergeCell ref="L51:M51"/>
    <mergeCell ref="B1:P1"/>
    <mergeCell ref="B2:P2"/>
    <mergeCell ref="B4:K4"/>
    <mergeCell ref="B5:K5"/>
    <mergeCell ref="B7:K7"/>
    <mergeCell ref="B8:K8"/>
    <mergeCell ref="B9:K11"/>
    <mergeCell ref="B13:K13"/>
    <mergeCell ref="M5:M6"/>
    <mergeCell ref="M7:M8"/>
    <mergeCell ref="M11:P12"/>
    <mergeCell ref="N5:P6"/>
    <mergeCell ref="N7:P8"/>
    <mergeCell ref="B6:K6"/>
    <mergeCell ref="B12:K12"/>
    <mergeCell ref="B15:K15"/>
    <mergeCell ref="D18:G18"/>
    <mergeCell ref="C17:P17"/>
    <mergeCell ref="M19:N19"/>
    <mergeCell ref="M20:N20"/>
    <mergeCell ref="M21:N21"/>
    <mergeCell ref="M22:N22"/>
    <mergeCell ref="C28:P28"/>
    <mergeCell ref="H36:K36"/>
    <mergeCell ref="M36:N36"/>
    <mergeCell ref="M18:N18"/>
    <mergeCell ref="B25:K25"/>
    <mergeCell ref="C26:P26"/>
    <mergeCell ref="C31:H31"/>
    <mergeCell ref="I31:K31"/>
    <mergeCell ref="L31:P31"/>
    <mergeCell ref="C32:P32"/>
    <mergeCell ref="C33:M33"/>
    <mergeCell ref="O33:P33"/>
    <mergeCell ref="C34:P34"/>
    <mergeCell ref="C30:E30"/>
    <mergeCell ref="C35:F35"/>
    <mergeCell ref="D19:J19"/>
    <mergeCell ref="G35:N35"/>
  </mergeCells>
  <phoneticPr fontId="0" type="noConversion"/>
  <conditionalFormatting sqref="L19:L24">
    <cfRule type="expression" dxfId="162" priority="63" stopIfTrue="1">
      <formula>ISNUMBER(L19)</formula>
    </cfRule>
  </conditionalFormatting>
  <conditionalFormatting sqref="C102:C107">
    <cfRule type="expression" dxfId="161" priority="4" stopIfTrue="1">
      <formula>OR(ISNUMBER($H102),ISNUMBER($I102))</formula>
    </cfRule>
  </conditionalFormatting>
  <conditionalFormatting sqref="H102:H107">
    <cfRule type="expression" dxfId="160" priority="56" stopIfTrue="1">
      <formula>ISNUMBER(H102)</formula>
    </cfRule>
    <cfRule type="expression" dxfId="159" priority="57" stopIfTrue="1">
      <formula>ISNUMBER(I102)</formula>
    </cfRule>
  </conditionalFormatting>
  <conditionalFormatting sqref="D102:G107">
    <cfRule type="expression" dxfId="158" priority="49" stopIfTrue="1">
      <formula>OR(ISNUMBER($H102),ISNUMBER($I102))</formula>
    </cfRule>
  </conditionalFormatting>
  <conditionalFormatting sqref="I102:P107">
    <cfRule type="expression" dxfId="157" priority="58">
      <formula>OR(ISNUMBER($H102),ISNUMBER($I102))</formula>
    </cfRule>
  </conditionalFormatting>
  <conditionalFormatting sqref="B128:K128 M128:P128 B130:K130 M130:P130">
    <cfRule type="expression" dxfId="156" priority="1">
      <formula>B128=" "</formula>
    </cfRule>
  </conditionalFormatting>
  <printOptions horizontalCentered="1" verticalCentered="1"/>
  <pageMargins left="0.7" right="0.45" top="0.7" bottom="0.6" header="0.5" footer="0.5"/>
  <pageSetup fitToHeight="3" orientation="portrait" r:id="rId1"/>
  <headerFooter alignWithMargins="0">
    <oddFooter>&amp;RPage &amp;P of &amp;N</oddFooter>
  </headerFooter>
  <rowBreaks count="2" manualBreakCount="2">
    <brk id="46" max="16383" man="1"/>
    <brk id="94" max="16383" man="1"/>
  </rowBreaks>
  <extLst>
    <ext xmlns:x14="http://schemas.microsoft.com/office/spreadsheetml/2009/9/main" uri="{78C0D931-6437-407d-A8EE-F0AAD7539E65}">
      <x14:conditionalFormattings>
        <x14:conditionalFormatting xmlns:xm="http://schemas.microsoft.com/office/excel/2006/main">
          <x14:cfRule type="expression" priority="3" id="{9E496BCD-3D0B-4397-AF27-ED6A87365A6F}">
            <xm:f>ISBLANK(Worksheet!$G$106)</xm:f>
            <x14:dxf>
              <border>
                <left/>
                <right/>
                <top/>
                <bottom/>
              </border>
            </x14:dxf>
          </x14:cfRule>
          <xm:sqref>C35:P37 C50:P55</xm:sqref>
        </x14:conditionalFormatting>
        <x14:conditionalFormatting xmlns:xm="http://schemas.microsoft.com/office/excel/2006/main">
          <x14:cfRule type="expression" priority="2" id="{0B2582C5-5D69-4272-B51D-604379C88EE9}">
            <xm:f>ISBLANK(Worksheet!$G$112)</xm:f>
            <x14:dxf>
              <border>
                <left/>
                <right/>
                <top/>
                <bottom/>
                <vertical/>
                <horizontal/>
              </border>
            </x14:dxf>
          </x14:cfRule>
          <xm:sqref>C40:E40 C57:P59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189"/>
  <sheetViews>
    <sheetView showGridLines="0" zoomScaleNormal="100" workbookViewId="0"/>
  </sheetViews>
  <sheetFormatPr defaultRowHeight="13.2" x14ac:dyDescent="0.25"/>
  <cols>
    <col min="1" max="1" width="5.6640625" style="185" customWidth="1"/>
    <col min="2" max="2" width="3.6640625" customWidth="1"/>
    <col min="3" max="5" width="5" customWidth="1"/>
    <col min="6" max="6" width="4.5546875" customWidth="1"/>
    <col min="7" max="9" width="5" customWidth="1"/>
    <col min="10" max="10" width="5.5546875" customWidth="1"/>
    <col min="11" max="12" width="4.6640625" customWidth="1"/>
    <col min="13" max="14" width="5.33203125" customWidth="1"/>
    <col min="15" max="15" width="5" customWidth="1"/>
    <col min="16" max="16" width="5.33203125" customWidth="1"/>
    <col min="17" max="18" width="5" customWidth="1"/>
    <col min="19" max="19" width="4.33203125" customWidth="1"/>
    <col min="20" max="20" width="5" customWidth="1"/>
    <col min="21" max="21" width="83" customWidth="1"/>
    <col min="22" max="25" width="46.6640625" customWidth="1"/>
  </cols>
  <sheetData>
    <row r="1" spans="1:21" x14ac:dyDescent="0.25">
      <c r="A1" s="194"/>
      <c r="B1" s="201"/>
      <c r="C1" s="263"/>
      <c r="D1" s="263"/>
      <c r="E1" s="263"/>
      <c r="F1" s="263"/>
      <c r="G1" s="263"/>
      <c r="H1" s="263"/>
      <c r="I1" s="263"/>
      <c r="J1" s="263"/>
      <c r="K1" s="263"/>
      <c r="L1" s="263"/>
      <c r="M1" s="263"/>
      <c r="N1" s="263"/>
      <c r="O1" s="263"/>
      <c r="P1" s="263"/>
      <c r="Q1" s="263"/>
      <c r="R1" s="263"/>
      <c r="S1" s="263"/>
      <c r="T1" s="263"/>
      <c r="U1" s="590"/>
    </row>
    <row r="2" spans="1:21" ht="15.75" customHeight="1" x14ac:dyDescent="0.3">
      <c r="A2" s="654"/>
      <c r="B2" s="1524" t="s">
        <v>245</v>
      </c>
      <c r="C2" s="865"/>
      <c r="D2" s="865"/>
      <c r="E2" s="865"/>
      <c r="F2" s="865"/>
      <c r="G2" s="865"/>
      <c r="H2" s="865"/>
      <c r="I2" s="865"/>
      <c r="J2" s="865"/>
      <c r="K2" s="865"/>
      <c r="L2" s="865"/>
      <c r="M2" s="865"/>
      <c r="N2" s="865"/>
      <c r="O2" s="865"/>
      <c r="P2" s="865"/>
      <c r="Q2" s="865"/>
      <c r="R2" s="865"/>
      <c r="S2" s="865"/>
      <c r="T2" s="865"/>
      <c r="U2" s="590"/>
    </row>
    <row r="3" spans="1:21" ht="15.75" customHeight="1" x14ac:dyDescent="0.3">
      <c r="A3" s="654"/>
      <c r="B3" s="1524" t="str">
        <f>UPPER(County!D2)&amp;" COUNTY"</f>
        <v>MARICOPA COUNTY</v>
      </c>
      <c r="C3" s="865"/>
      <c r="D3" s="865"/>
      <c r="E3" s="865"/>
      <c r="F3" s="865"/>
      <c r="G3" s="865"/>
      <c r="H3" s="865"/>
      <c r="I3" s="865"/>
      <c r="J3" s="865"/>
      <c r="K3" s="865"/>
      <c r="L3" s="865"/>
      <c r="M3" s="865"/>
      <c r="N3" s="865"/>
      <c r="O3" s="865"/>
      <c r="P3" s="865"/>
      <c r="Q3" s="865"/>
      <c r="R3" s="865"/>
      <c r="S3" s="865"/>
      <c r="T3" s="865"/>
      <c r="U3" s="590"/>
    </row>
    <row r="4" spans="1:21" ht="15" customHeight="1" x14ac:dyDescent="0.25">
      <c r="A4" s="654"/>
      <c r="B4" s="1604"/>
      <c r="C4" s="1605"/>
      <c r="D4" s="1605"/>
      <c r="E4" s="1605"/>
      <c r="F4" s="1605"/>
      <c r="G4" s="1605"/>
      <c r="H4" s="1605"/>
      <c r="I4" s="1605"/>
      <c r="J4" s="1605"/>
      <c r="K4" s="1605"/>
      <c r="L4" s="1605"/>
      <c r="M4" s="1605"/>
      <c r="N4" s="1605"/>
      <c r="O4" s="1605"/>
      <c r="P4" s="1605"/>
      <c r="Q4" s="1605"/>
      <c r="R4" s="1605"/>
      <c r="S4" s="1605"/>
      <c r="T4" s="1605"/>
      <c r="U4" s="590"/>
    </row>
    <row r="5" spans="1:21" ht="32.25" customHeight="1" x14ac:dyDescent="0.25">
      <c r="A5" s="654"/>
      <c r="B5" s="1580" t="str">
        <f>PetitionerCaptionPrefix</f>
        <v/>
      </c>
      <c r="C5" s="1581"/>
      <c r="D5" s="1581"/>
      <c r="E5" s="1581"/>
      <c r="F5" s="1581"/>
      <c r="G5" s="1581"/>
      <c r="H5" s="1581"/>
      <c r="I5" s="1581"/>
      <c r="J5" s="1581"/>
      <c r="K5" s="787" t="str">
        <f>IF(NOT(ISBLANK(Worksheet!C35)),")","")</f>
        <v/>
      </c>
      <c r="L5" s="592"/>
      <c r="M5" s="1568" t="s">
        <v>247</v>
      </c>
      <c r="N5" s="1569"/>
      <c r="O5" s="1570" t="str">
        <f>CaseNumber</f>
        <v/>
      </c>
      <c r="P5" s="1571"/>
      <c r="Q5" s="1571"/>
      <c r="R5" s="1571"/>
      <c r="S5" s="1571"/>
      <c r="T5" s="263"/>
      <c r="U5" s="590"/>
    </row>
    <row r="6" spans="1:21" ht="18" customHeight="1" x14ac:dyDescent="0.3">
      <c r="A6" s="654"/>
      <c r="B6" s="1613" t="str">
        <f>PetitionerCaption</f>
        <v/>
      </c>
      <c r="C6" s="1614"/>
      <c r="D6" s="1614"/>
      <c r="E6" s="1614"/>
      <c r="F6" s="1614"/>
      <c r="G6" s="1614"/>
      <c r="H6" s="1614"/>
      <c r="I6" s="1614"/>
      <c r="J6" s="1614"/>
      <c r="K6" s="203" t="s">
        <v>246</v>
      </c>
      <c r="L6" s="590"/>
      <c r="M6" s="1568"/>
      <c r="N6" s="1569"/>
      <c r="O6" s="1572"/>
      <c r="P6" s="1572"/>
      <c r="Q6" s="1572"/>
      <c r="R6" s="1572"/>
      <c r="S6" s="1572"/>
      <c r="T6" s="263"/>
      <c r="U6" s="590"/>
    </row>
    <row r="7" spans="1:21" ht="15" customHeight="1" x14ac:dyDescent="0.25">
      <c r="A7" s="654"/>
      <c r="B7" s="136"/>
      <c r="C7" s="135"/>
      <c r="D7" s="135"/>
      <c r="E7" s="135"/>
      <c r="F7" s="135"/>
      <c r="G7" s="1561" t="s">
        <v>37</v>
      </c>
      <c r="H7" s="1561"/>
      <c r="I7" s="1561"/>
      <c r="J7" s="1561"/>
      <c r="K7" s="631" t="s">
        <v>246</v>
      </c>
      <c r="L7" s="1586" t="s">
        <v>249</v>
      </c>
      <c r="M7" s="865"/>
      <c r="N7" s="865"/>
      <c r="O7" s="1573" t="str">
        <f>IF(ISBLANK(Worksheet!I293),"",Worksheet!I293)</f>
        <v/>
      </c>
      <c r="P7" s="1574"/>
      <c r="Q7" s="1574"/>
      <c r="R7" s="1574"/>
      <c r="S7" s="1574"/>
      <c r="T7" s="263"/>
      <c r="U7" s="590"/>
    </row>
    <row r="8" spans="1:21" ht="15" customHeight="1" x14ac:dyDescent="0.25">
      <c r="A8" s="654"/>
      <c r="B8" s="864"/>
      <c r="C8" s="865"/>
      <c r="D8" s="865"/>
      <c r="E8" s="865"/>
      <c r="F8" s="865"/>
      <c r="G8" s="865"/>
      <c r="H8" s="865"/>
      <c r="I8" s="865"/>
      <c r="J8" s="865"/>
      <c r="K8" s="203" t="s">
        <v>246</v>
      </c>
      <c r="L8" s="865"/>
      <c r="M8" s="865"/>
      <c r="N8" s="865"/>
      <c r="O8" s="1575"/>
      <c r="P8" s="1575"/>
      <c r="Q8" s="1575"/>
      <c r="R8" s="1575"/>
      <c r="S8" s="1575"/>
      <c r="T8" s="263"/>
      <c r="U8" s="590"/>
    </row>
    <row r="9" spans="1:21" ht="15" customHeight="1" x14ac:dyDescent="0.25">
      <c r="A9" s="654"/>
      <c r="B9" s="864" t="s">
        <v>248</v>
      </c>
      <c r="C9" s="865"/>
      <c r="D9" s="865"/>
      <c r="E9" s="865"/>
      <c r="F9" s="865"/>
      <c r="G9" s="865"/>
      <c r="H9" s="865"/>
      <c r="I9" s="865"/>
      <c r="J9" s="865"/>
      <c r="K9" s="203" t="s">
        <v>246</v>
      </c>
      <c r="L9" s="590"/>
      <c r="M9" s="263"/>
      <c r="N9" s="263"/>
      <c r="O9" s="203"/>
      <c r="P9" s="263"/>
      <c r="Q9" s="263"/>
      <c r="R9" s="263"/>
      <c r="S9" s="263"/>
      <c r="T9" s="263"/>
      <c r="U9" s="590"/>
    </row>
    <row r="10" spans="1:21" ht="15" customHeight="1" x14ac:dyDescent="0.25">
      <c r="A10" s="654"/>
      <c r="B10" s="1558" t="str">
        <f>Respondent</f>
        <v/>
      </c>
      <c r="C10" s="1559"/>
      <c r="D10" s="1559"/>
      <c r="E10" s="1559"/>
      <c r="F10" s="1559"/>
      <c r="G10" s="1559"/>
      <c r="H10" s="1559"/>
      <c r="I10" s="1559"/>
      <c r="J10" s="1559"/>
      <c r="K10" s="788" t="s">
        <v>246</v>
      </c>
      <c r="L10" s="1589" t="str">
        <f>IF(Worksheet!G223="x","Paternity Judgment and",IF(NOT(ISBLANK(Worksheet!G224)),"Establishment Judgment and","Judgment and"))</f>
        <v>Paternity Judgment and</v>
      </c>
      <c r="M10" s="1590"/>
      <c r="N10" s="1590"/>
      <c r="O10" s="1590"/>
      <c r="P10" s="1590"/>
      <c r="Q10" s="1590"/>
      <c r="R10" s="1590"/>
      <c r="S10" s="1590"/>
      <c r="T10" s="203"/>
      <c r="U10" s="590"/>
    </row>
    <row r="11" spans="1:21" ht="15" customHeight="1" x14ac:dyDescent="0.25">
      <c r="A11" s="654"/>
      <c r="B11" s="1559"/>
      <c r="C11" s="1559"/>
      <c r="D11" s="1559"/>
      <c r="E11" s="1559"/>
      <c r="F11" s="1559"/>
      <c r="G11" s="1559"/>
      <c r="H11" s="1559"/>
      <c r="I11" s="1559"/>
      <c r="J11" s="1559"/>
      <c r="K11" s="788" t="s">
        <v>246</v>
      </c>
      <c r="L11" s="1590"/>
      <c r="M11" s="1590"/>
      <c r="N11" s="1590"/>
      <c r="O11" s="1590"/>
      <c r="P11" s="1590"/>
      <c r="Q11" s="1590"/>
      <c r="R11" s="1590"/>
      <c r="S11" s="1590"/>
      <c r="T11" s="203"/>
      <c r="U11" s="590"/>
    </row>
    <row r="12" spans="1:21" ht="15" customHeight="1" x14ac:dyDescent="0.3">
      <c r="A12" s="654"/>
      <c r="B12" s="1560"/>
      <c r="C12" s="1560"/>
      <c r="D12" s="1560"/>
      <c r="E12" s="1560"/>
      <c r="F12" s="1560"/>
      <c r="G12" s="1560"/>
      <c r="H12" s="1560"/>
      <c r="I12" s="1560"/>
      <c r="J12" s="1560"/>
      <c r="K12" s="788" t="s">
        <v>246</v>
      </c>
      <c r="L12" s="1589" t="s">
        <v>311</v>
      </c>
      <c r="M12" s="1590"/>
      <c r="N12" s="1590"/>
      <c r="O12" s="1590"/>
      <c r="P12" s="1590"/>
      <c r="Q12" s="1590"/>
      <c r="R12" s="1590"/>
      <c r="S12" s="1590"/>
      <c r="T12" s="203"/>
      <c r="U12" s="590"/>
    </row>
    <row r="13" spans="1:21" ht="15" customHeight="1" x14ac:dyDescent="0.25">
      <c r="A13" s="654"/>
      <c r="B13" s="789"/>
      <c r="C13" s="763"/>
      <c r="D13" s="763"/>
      <c r="E13" s="763"/>
      <c r="F13" s="763"/>
      <c r="G13" s="1561" t="s">
        <v>42</v>
      </c>
      <c r="H13" s="1561"/>
      <c r="I13" s="1561"/>
      <c r="J13" s="1561"/>
      <c r="K13" s="788" t="s">
        <v>246</v>
      </c>
      <c r="L13" s="590"/>
      <c r="M13" s="263"/>
      <c r="N13" s="263"/>
      <c r="O13" s="788"/>
      <c r="P13" s="203"/>
      <c r="Q13" s="203"/>
      <c r="R13" s="203"/>
      <c r="S13" s="203"/>
      <c r="T13" s="203"/>
      <c r="U13" s="590"/>
    </row>
    <row r="14" spans="1:21" ht="15" customHeight="1" x14ac:dyDescent="0.25">
      <c r="A14" s="654"/>
      <c r="B14" s="1582"/>
      <c r="C14" s="863"/>
      <c r="D14" s="863"/>
      <c r="E14" s="863"/>
      <c r="F14" s="863"/>
      <c r="G14" s="863"/>
      <c r="H14" s="863"/>
      <c r="I14" s="863"/>
      <c r="J14" s="863"/>
      <c r="K14" s="788" t="s">
        <v>246</v>
      </c>
      <c r="L14" s="592"/>
      <c r="M14" s="263"/>
      <c r="N14" s="263"/>
      <c r="O14" s="788"/>
      <c r="P14" s="203"/>
      <c r="Q14" s="203"/>
      <c r="R14" s="203"/>
      <c r="S14" s="203"/>
      <c r="T14" s="203"/>
      <c r="U14" s="590"/>
    </row>
    <row r="15" spans="1:21" ht="35.25" customHeight="1" x14ac:dyDescent="0.25">
      <c r="A15" s="654"/>
      <c r="B15" s="1587" t="str">
        <f>IF(Worksheet!G226="x","          Having considered the evidence presented at a default hearing in this matter,",IF(NOT(ISBLANK(Worksheet!G227)),"          Having considered the evidence presented at an evidentiary hearing in this matter,",IF(NOT(ISBLANK(Worksheet!E177)),"          Having considered a Stipulation presented by the parties in this matter,",IF(NOT(ISBLANK(Worksheet!G228)),"          Having received a request to establish child support pursuant to A.R.S. §25-502(J), and no timely request for hearing having been filed by any party,","          This matter having come before the court,"))))</f>
        <v xml:space="preserve">          Having considered the evidence presented at a default hearing in this matter,</v>
      </c>
      <c r="C15" s="1587"/>
      <c r="D15" s="1587"/>
      <c r="E15" s="1587"/>
      <c r="F15" s="1587"/>
      <c r="G15" s="1587"/>
      <c r="H15" s="1587"/>
      <c r="I15" s="1587"/>
      <c r="J15" s="1587"/>
      <c r="K15" s="1587"/>
      <c r="L15" s="1587"/>
      <c r="M15" s="1587"/>
      <c r="N15" s="1587"/>
      <c r="O15" s="1587"/>
      <c r="P15" s="1587"/>
      <c r="Q15" s="1587"/>
      <c r="R15" s="1587"/>
      <c r="S15" s="1587"/>
      <c r="T15" s="1588"/>
      <c r="U15" s="590"/>
    </row>
    <row r="16" spans="1:21" ht="15.75" customHeight="1" x14ac:dyDescent="0.25">
      <c r="A16" s="654"/>
      <c r="B16" s="1584" t="s">
        <v>251</v>
      </c>
      <c r="C16" s="1584"/>
      <c r="D16" s="1585"/>
      <c r="E16" s="1585"/>
      <c r="F16" s="1585"/>
      <c r="G16" s="1585"/>
      <c r="H16" s="1585"/>
      <c r="I16" s="1585"/>
      <c r="J16" s="1585"/>
      <c r="K16" s="1585"/>
      <c r="L16" s="1585"/>
      <c r="M16" s="1585"/>
      <c r="N16" s="1585"/>
      <c r="O16" s="1585"/>
      <c r="P16" s="1585"/>
      <c r="Q16" s="1585"/>
      <c r="R16" s="1585"/>
      <c r="S16" s="1585"/>
      <c r="T16" s="1585"/>
      <c r="U16" s="590"/>
    </row>
    <row r="17" spans="1:21" ht="10.5" customHeight="1" x14ac:dyDescent="0.25">
      <c r="A17" s="654"/>
      <c r="B17" s="699"/>
      <c r="C17" s="699"/>
      <c r="D17" s="790"/>
      <c r="E17" s="790"/>
      <c r="F17" s="790"/>
      <c r="G17" s="790"/>
      <c r="H17" s="790"/>
      <c r="I17" s="790"/>
      <c r="J17" s="790"/>
      <c r="K17" s="790"/>
      <c r="L17" s="790"/>
      <c r="M17" s="790"/>
      <c r="N17" s="790"/>
      <c r="O17" s="790"/>
      <c r="P17" s="790"/>
      <c r="Q17" s="790"/>
      <c r="R17" s="790"/>
      <c r="S17" s="790"/>
      <c r="T17" s="790"/>
      <c r="U17" s="590"/>
    </row>
    <row r="18" spans="1:21" ht="25.5" customHeight="1" x14ac:dyDescent="0.25">
      <c r="A18" s="654"/>
      <c r="B18" s="791" t="s">
        <v>252</v>
      </c>
      <c r="C18" s="1577" t="s">
        <v>312</v>
      </c>
      <c r="D18" s="1583"/>
      <c r="E18" s="1583"/>
      <c r="F18" s="1583"/>
      <c r="G18" s="1583"/>
      <c r="H18" s="1583"/>
      <c r="I18" s="1583"/>
      <c r="J18" s="1583"/>
      <c r="K18" s="1583"/>
      <c r="L18" s="1583"/>
      <c r="M18" s="1583"/>
      <c r="N18" s="1583"/>
      <c r="O18" s="1583"/>
      <c r="P18" s="1583"/>
      <c r="Q18" s="1583"/>
      <c r="R18" s="1583"/>
      <c r="S18" s="1583"/>
      <c r="T18" s="1583"/>
      <c r="U18" s="590"/>
    </row>
    <row r="19" spans="1:21" x14ac:dyDescent="0.25">
      <c r="A19" s="654"/>
      <c r="B19" s="791"/>
      <c r="C19" s="791"/>
      <c r="D19" s="263"/>
      <c r="E19" s="263"/>
      <c r="F19" s="263"/>
      <c r="G19" s="263"/>
      <c r="H19" s="263"/>
      <c r="I19" s="263"/>
      <c r="J19" s="263"/>
      <c r="K19" s="786"/>
      <c r="L19" s="786"/>
      <c r="M19" s="786"/>
      <c r="N19" s="263"/>
      <c r="O19" s="263"/>
      <c r="P19" s="263"/>
      <c r="Q19" s="263"/>
      <c r="R19" s="263"/>
      <c r="S19" s="263"/>
      <c r="T19" s="263"/>
      <c r="U19" s="590"/>
    </row>
    <row r="20" spans="1:21" ht="31.5" customHeight="1" x14ac:dyDescent="0.25">
      <c r="A20" s="654"/>
      <c r="B20" s="785" t="s">
        <v>254</v>
      </c>
      <c r="C20" s="1577" t="str">
        <f>IF(OR(ISBLANK(Worksheet!F12),ISBLANK(Worksheet!F14)),"_________________ and _______________ owe a duty to support the following child(ren):",Worksheet!F12&amp;" (hereafter called 'Parent A') and "&amp;Worksheet!F14&amp;" (hereafter called 'Parent B'), owe a duty to support the following "&amp;ChildChildren&amp;":")</f>
        <v>_________________ and _______________ owe a duty to support the following child(ren):</v>
      </c>
      <c r="D20" s="1193"/>
      <c r="E20" s="1193"/>
      <c r="F20" s="1193"/>
      <c r="G20" s="1193"/>
      <c r="H20" s="1193"/>
      <c r="I20" s="1193"/>
      <c r="J20" s="1193"/>
      <c r="K20" s="1193"/>
      <c r="L20" s="1193"/>
      <c r="M20" s="1193"/>
      <c r="N20" s="1193"/>
      <c r="O20" s="1193"/>
      <c r="P20" s="1193"/>
      <c r="Q20" s="1193"/>
      <c r="R20" s="1193"/>
      <c r="S20" s="1193"/>
      <c r="T20" s="263"/>
      <c r="U20" s="590"/>
    </row>
    <row r="21" spans="1:21" ht="12.75" customHeight="1" x14ac:dyDescent="0.25">
      <c r="A21" s="654"/>
      <c r="B21" s="785"/>
      <c r="C21" s="785"/>
      <c r="D21" s="263"/>
      <c r="E21" s="1606" t="s">
        <v>253</v>
      </c>
      <c r="F21" s="1607"/>
      <c r="G21" s="1607"/>
      <c r="H21" s="1607"/>
      <c r="I21" s="1607"/>
      <c r="J21" s="792"/>
      <c r="K21" s="1615" t="str">
        <f>IF(OR(AND(ISBLANK(Worksheet!M18),ISNUMBER(Worksheet!S18)),AND(ISBLANK(Worksheet!M19),ISNUMBER(Worksheet!S19)),AND(ISBLANK(Worksheet!M20),ISNUMBER(Worksheet!S20)),AND(ISBLANK(Worksheet!M21),ISNUMBER(Worksheet!S21)),AND(ISBLANK(Worksheet!M22),ISNUMBER(Worksheet!S22)),AND(ISBLANK(Worksheet!M23),ISNUMBER(Worksheet!S23))),"Age","")</f>
        <v/>
      </c>
      <c r="L21" s="1616"/>
      <c r="M21" s="1617" t="s">
        <v>18</v>
      </c>
      <c r="N21" s="1526"/>
      <c r="O21" s="1526"/>
      <c r="P21" s="1526"/>
      <c r="Q21" s="121" t="str">
        <f>IF(OR(AND(ISBLANK(Worksheet!P42),ISNUMBER(Worksheet!P44)),AND(ISBLANK(Worksheet!R42),ISNUMBER(Worksheet!R44)),AND(ISBLANK(Worksheet!T42),ISNUMBER(Worksheet!T44)),AND(ISBLANK(Worksheet!V42),ISNUMBER(Worksheet!V44)),AND(ISBLANK(Worksheet!X42),ISNUMBER(Worksheet!X44)),AND(ISBLANK(Worksheet!Z42),ISNUMBER(Worksheet!Z44))),"Age","")</f>
        <v/>
      </c>
      <c r="R21" s="121"/>
      <c r="S21" s="797"/>
      <c r="T21" s="263"/>
      <c r="U21" s="590"/>
    </row>
    <row r="22" spans="1:21" x14ac:dyDescent="0.25">
      <c r="A22" s="654"/>
      <c r="B22" s="785"/>
      <c r="C22" s="785"/>
      <c r="D22" s="263"/>
      <c r="E22" s="1539" t="str">
        <f>IF(NOT(ISBLANK(Worksheet!F18)),Worksheet!F18,"")</f>
        <v/>
      </c>
      <c r="F22" s="1539"/>
      <c r="G22" s="1539"/>
      <c r="H22" s="1539"/>
      <c r="I22" s="1539"/>
      <c r="J22" s="786"/>
      <c r="K22" s="1602" t="str">
        <f>IF(AND(ISBLANK(Worksheet!M18),ISNUMBER(Worksheet!S18)),Worksheet!S18,"")</f>
        <v/>
      </c>
      <c r="L22" s="865"/>
      <c r="M22" s="1550" t="str">
        <f>IF(ISBLANK(Worksheet!M18),"",Worksheet!M18)</f>
        <v/>
      </c>
      <c r="N22" s="1550"/>
      <c r="O22" s="1578"/>
      <c r="P22" s="1579"/>
      <c r="Q22" s="797" t="str">
        <f>IF(AND(ISBLANK(Worksheet!P42),ISNUMBER(Worksheet!P44)),Worksheet!P44,"")</f>
        <v/>
      </c>
      <c r="R22" s="797"/>
      <c r="S22" s="797"/>
      <c r="T22" s="263"/>
      <c r="U22" s="590"/>
    </row>
    <row r="23" spans="1:21" x14ac:dyDescent="0.25">
      <c r="A23" s="654"/>
      <c r="B23" s="785"/>
      <c r="C23" s="785"/>
      <c r="D23" s="263"/>
      <c r="E23" s="1576" t="str">
        <f>IF(NOT(ISBLANK(Worksheet!F19)),Worksheet!F19,"")</f>
        <v/>
      </c>
      <c r="F23" s="1576"/>
      <c r="G23" s="1576"/>
      <c r="H23" s="1576"/>
      <c r="I23" s="1576"/>
      <c r="J23" s="786"/>
      <c r="K23" s="1602" t="str">
        <f>IF(AND(ISBLANK(Worksheet!M19),ISNUMBER(Worksheet!S19)),Worksheet!S19,"")</f>
        <v/>
      </c>
      <c r="L23" s="865"/>
      <c r="M23" s="1550" t="str">
        <f>IF(ISBLANK(Worksheet!M19),"",Worksheet!M19)</f>
        <v/>
      </c>
      <c r="N23" s="1550"/>
      <c r="O23" s="1578"/>
      <c r="P23" s="1579"/>
      <c r="Q23" s="797" t="str">
        <f>IF(AND(ISBLANK(Worksheet!R42),ISNUMBER(Worksheet!R44)),Worksheet!R44,"")</f>
        <v/>
      </c>
      <c r="R23" s="797"/>
      <c r="S23" s="797"/>
      <c r="T23" s="263"/>
      <c r="U23" s="590"/>
    </row>
    <row r="24" spans="1:21" x14ac:dyDescent="0.25">
      <c r="A24" s="654"/>
      <c r="B24" s="785"/>
      <c r="C24" s="785"/>
      <c r="D24" s="263"/>
      <c r="E24" s="1576" t="str">
        <f>IF(NOT(ISBLANK(Worksheet!F20)),Worksheet!F20,"")</f>
        <v/>
      </c>
      <c r="F24" s="1576"/>
      <c r="G24" s="1576"/>
      <c r="H24" s="1576"/>
      <c r="I24" s="1576"/>
      <c r="J24" s="786"/>
      <c r="K24" s="1602" t="str">
        <f>IF(AND(ISBLANK(Worksheet!M20),ISNUMBER(Worksheet!S20)),Worksheet!S20,"")</f>
        <v/>
      </c>
      <c r="L24" s="865"/>
      <c r="M24" s="1550" t="str">
        <f>IF(ISBLANK(Worksheet!M20),"",Worksheet!M20)</f>
        <v/>
      </c>
      <c r="N24" s="1550"/>
      <c r="O24" s="1578"/>
      <c r="P24" s="1579"/>
      <c r="Q24" s="797" t="str">
        <f>IF(AND(ISBLANK(Worksheet!T42),ISNUMBER(Worksheet!T44)),Worksheet!T44,"")</f>
        <v/>
      </c>
      <c r="R24" s="797"/>
      <c r="S24" s="797"/>
      <c r="T24" s="263"/>
      <c r="U24" s="590"/>
    </row>
    <row r="25" spans="1:21" x14ac:dyDescent="0.25">
      <c r="A25" s="654"/>
      <c r="B25" s="785"/>
      <c r="C25" s="785"/>
      <c r="D25" s="263"/>
      <c r="E25" s="1576" t="str">
        <f>IF(NOT(ISBLANK(Worksheet!F21)),Worksheet!F21,"")</f>
        <v/>
      </c>
      <c r="F25" s="1576"/>
      <c r="G25" s="1576"/>
      <c r="H25" s="1576"/>
      <c r="I25" s="1576"/>
      <c r="J25" s="786"/>
      <c r="K25" s="1602" t="str">
        <f>IF(AND(ISBLANK(Worksheet!M21),ISNUMBER(Worksheet!S21)),Worksheet!S21,"")</f>
        <v/>
      </c>
      <c r="L25" s="865"/>
      <c r="M25" s="1550" t="str">
        <f>IF(ISBLANK(Worksheet!M21),"",Worksheet!M21)</f>
        <v/>
      </c>
      <c r="N25" s="1550"/>
      <c r="O25" s="1578"/>
      <c r="P25" s="1579"/>
      <c r="Q25" s="797" t="str">
        <f>IF(AND(ISBLANK(Worksheet!V42),ISNUMBER(Worksheet!V44)),Worksheet!V44,"")</f>
        <v/>
      </c>
      <c r="R25" s="797"/>
      <c r="S25" s="797"/>
      <c r="T25" s="263"/>
      <c r="U25" s="590"/>
    </row>
    <row r="26" spans="1:21" x14ac:dyDescent="0.25">
      <c r="A26" s="654"/>
      <c r="B26" s="785"/>
      <c r="C26" s="785"/>
      <c r="D26" s="263"/>
      <c r="E26" s="1576" t="str">
        <f>IF(NOT(ISBLANK(Worksheet!F22)),Worksheet!F22,"")</f>
        <v/>
      </c>
      <c r="F26" s="1576"/>
      <c r="G26" s="1576"/>
      <c r="H26" s="1576"/>
      <c r="I26" s="1576"/>
      <c r="J26" s="786"/>
      <c r="K26" s="1602" t="str">
        <f>IF(AND(ISBLANK(Worksheet!M22),ISNUMBER(Worksheet!S22)),Worksheet!S22,"")</f>
        <v/>
      </c>
      <c r="L26" s="865"/>
      <c r="M26" s="1550" t="str">
        <f>IF(ISBLANK(Worksheet!M22),"",Worksheet!M22)</f>
        <v/>
      </c>
      <c r="N26" s="1550"/>
      <c r="O26" s="1578"/>
      <c r="P26" s="1579"/>
      <c r="Q26" s="797" t="str">
        <f>IF(AND(ISBLANK(Worksheet!X42),ISNUMBER(Worksheet!X44)),Worksheet!X44,"")</f>
        <v/>
      </c>
      <c r="R26" s="797"/>
      <c r="S26" s="797"/>
      <c r="T26" s="263"/>
      <c r="U26" s="590"/>
    </row>
    <row r="27" spans="1:21" x14ac:dyDescent="0.25">
      <c r="A27" s="654"/>
      <c r="B27" s="785"/>
      <c r="C27" s="678"/>
      <c r="D27" s="593"/>
      <c r="E27" s="1603" t="str">
        <f>IF(NOT(ISBLANK(Worksheet!F23)),Worksheet!F23,"")</f>
        <v/>
      </c>
      <c r="F27" s="1603"/>
      <c r="G27" s="1603"/>
      <c r="H27" s="1603"/>
      <c r="I27" s="1603"/>
      <c r="J27" s="701"/>
      <c r="K27" s="1602" t="str">
        <f>IF(AND(ISBLANK(Worksheet!M23),ISNUMBER(Worksheet!S23)),Worksheet!S23,"")</f>
        <v/>
      </c>
      <c r="L27" s="951"/>
      <c r="M27" s="1592" t="str">
        <f>IF(ISBLANK(Worksheet!M23),"",Worksheet!M23)</f>
        <v/>
      </c>
      <c r="N27" s="1592"/>
      <c r="O27" s="1593"/>
      <c r="P27" s="1447"/>
      <c r="Q27" s="662" t="str">
        <f>IF(AND(ISBLANK(Worksheet!Z42),ISNUMBER(Worksheet!Z44)),Worksheet!Z44,"")</f>
        <v/>
      </c>
      <c r="R27" s="662"/>
      <c r="S27" s="662"/>
      <c r="T27" s="593"/>
      <c r="U27" s="590"/>
    </row>
    <row r="28" spans="1:21" x14ac:dyDescent="0.25">
      <c r="A28" s="654"/>
      <c r="B28" s="794"/>
      <c r="C28" s="795"/>
      <c r="D28" s="702"/>
      <c r="E28" s="590"/>
      <c r="F28" s="590"/>
      <c r="G28" s="590"/>
      <c r="H28" s="590"/>
      <c r="I28" s="590"/>
      <c r="J28" s="590"/>
      <c r="K28" s="674"/>
      <c r="L28" s="674"/>
      <c r="M28" s="674"/>
      <c r="N28" s="674"/>
      <c r="O28" s="674"/>
      <c r="P28" s="674"/>
      <c r="Q28" s="674"/>
      <c r="R28" s="674"/>
      <c r="S28" s="674"/>
      <c r="T28" s="593"/>
      <c r="U28" s="590"/>
    </row>
    <row r="29" spans="1:21" x14ac:dyDescent="0.25">
      <c r="A29" s="654"/>
      <c r="B29" s="785" t="s">
        <v>256</v>
      </c>
      <c r="C29" s="1523" t="s">
        <v>313</v>
      </c>
      <c r="D29" s="1523"/>
      <c r="E29" s="1611" t="str">
        <f>IF(NOT(ISBLANK(Worksheet!I231)),Worksheet!I231,"")</f>
        <v/>
      </c>
      <c r="F29" s="1612"/>
      <c r="G29" s="1612"/>
      <c r="H29" s="1612"/>
      <c r="I29" s="1612"/>
      <c r="J29" s="1612"/>
      <c r="K29" s="1400" t="str">
        <f>"is the parent of "&amp;IF(Children=1,"this","these "&amp;Children)&amp;" "&amp;ChildChildren</f>
        <v>is the parent of these 0 children</v>
      </c>
      <c r="L29" s="951"/>
      <c r="M29" s="951"/>
      <c r="N29" s="951"/>
      <c r="O29" s="951"/>
      <c r="P29" s="951"/>
      <c r="Q29" s="951"/>
      <c r="R29" s="590"/>
      <c r="S29" s="593"/>
      <c r="T29" s="593"/>
      <c r="U29" s="590"/>
    </row>
    <row r="30" spans="1:21" x14ac:dyDescent="0.25">
      <c r="A30" s="654"/>
      <c r="B30" s="785"/>
      <c r="C30" s="680" t="s">
        <v>314</v>
      </c>
      <c r="D30" s="680"/>
      <c r="E30" s="680"/>
      <c r="F30" s="680"/>
      <c r="G30" s="257"/>
      <c r="H30" s="1609" t="str">
        <f>IF(NOT(ISBLANK(Worksheet!U231)),Worksheet!U231,"unknown.")</f>
        <v>unknown.</v>
      </c>
      <c r="I30" s="1609"/>
      <c r="J30" s="1609"/>
      <c r="K30" s="1609"/>
      <c r="L30" s="1481" t="str">
        <f>IF(OR(NOT(ISBLANK(Worksheet!G234)),NOT(ISBLANK(Worksheet!G235)),NOT(ISBLANK(Worksheet!G236))),"Parent A was previously established as parent","")</f>
        <v/>
      </c>
      <c r="M30" s="1481"/>
      <c r="N30" s="1481"/>
      <c r="O30" s="1481"/>
      <c r="P30" s="1481"/>
      <c r="Q30" s="1481"/>
      <c r="R30" s="1481"/>
      <c r="S30" s="1481"/>
      <c r="T30" s="1481"/>
      <c r="U30" s="590"/>
    </row>
    <row r="31" spans="1:21" ht="12.75" customHeight="1" x14ac:dyDescent="0.25">
      <c r="A31" s="654"/>
      <c r="B31" s="794"/>
      <c r="C31" s="1407" t="str">
        <f>IF(NOT(ISBLANK(Worksheet!G241)),"pursuant to a court order.",IF(NOT(ISBLANK(Worksheet!G235)),"pursuant to a valid acknowledgment of paternity filed with the Clerk of the Superior Court.",IF(NOT(ISBLANK(Worksheet!G236)),"pursuant to a valid acknowledgment of paternity filed with the Arizona Department of Economic Security.","")))</f>
        <v/>
      </c>
      <c r="D31" s="1452"/>
      <c r="E31" s="1452"/>
      <c r="F31" s="1452"/>
      <c r="G31" s="1452"/>
      <c r="H31" s="1452"/>
      <c r="I31" s="1452"/>
      <c r="J31" s="1452"/>
      <c r="K31" s="1452"/>
      <c r="L31" s="1452"/>
      <c r="M31" s="1452"/>
      <c r="N31" s="1452"/>
      <c r="O31" s="1452"/>
      <c r="P31" s="1452"/>
      <c r="Q31" s="1452"/>
      <c r="R31" s="1452"/>
      <c r="S31" s="1452"/>
      <c r="T31" s="1452"/>
      <c r="U31" s="590"/>
    </row>
    <row r="32" spans="1:21" s="349" customFormat="1" x14ac:dyDescent="0.25">
      <c r="A32" s="654"/>
      <c r="B32" s="794"/>
      <c r="C32" s="795"/>
      <c r="D32" s="702"/>
      <c r="E32" s="702"/>
      <c r="F32" s="702"/>
      <c r="G32" s="702"/>
      <c r="H32" s="702"/>
      <c r="I32" s="702"/>
      <c r="J32" s="702"/>
      <c r="K32" s="702"/>
      <c r="L32" s="674"/>
      <c r="M32" s="674"/>
      <c r="N32" s="674"/>
      <c r="O32" s="674"/>
      <c r="P32" s="674"/>
      <c r="Q32" s="674"/>
      <c r="R32" s="702"/>
      <c r="S32" s="702"/>
      <c r="T32" s="702"/>
      <c r="U32" s="590"/>
    </row>
    <row r="33" spans="1:38" ht="12.75" customHeight="1" x14ac:dyDescent="0.25">
      <c r="A33" s="654"/>
      <c r="B33" s="785" t="s">
        <v>258</v>
      </c>
      <c r="C33" s="1523" t="s">
        <v>315</v>
      </c>
      <c r="D33" s="1523"/>
      <c r="E33" s="1608" t="str">
        <f>IF(NOT(ISBLANK(Worksheet!I238)),Worksheet!I238,"")</f>
        <v/>
      </c>
      <c r="F33" s="1608"/>
      <c r="G33" s="1608"/>
      <c r="H33" s="1608"/>
      <c r="I33" s="1608"/>
      <c r="J33" s="1608"/>
      <c r="K33" s="1400" t="str">
        <f>K29</f>
        <v>is the parent of these 0 children</v>
      </c>
      <c r="L33" s="950"/>
      <c r="M33" s="950"/>
      <c r="N33" s="950"/>
      <c r="O33" s="950"/>
      <c r="P33" s="950"/>
      <c r="Q33" s="950"/>
      <c r="R33" s="950"/>
      <c r="S33" s="669"/>
      <c r="T33" s="669"/>
      <c r="U33" s="590"/>
      <c r="V33" s="592"/>
      <c r="W33" s="592"/>
      <c r="X33" s="592"/>
      <c r="Y33" s="592"/>
      <c r="Z33" s="592"/>
      <c r="AA33" s="592"/>
      <c r="AB33" s="592"/>
      <c r="AC33" s="592"/>
      <c r="AD33" s="592"/>
      <c r="AE33" s="592"/>
      <c r="AF33" s="592"/>
      <c r="AG33" s="592"/>
      <c r="AH33" s="592"/>
      <c r="AI33" s="592"/>
      <c r="AJ33" s="592"/>
      <c r="AK33" s="592"/>
      <c r="AL33" s="592"/>
    </row>
    <row r="34" spans="1:38" ht="12.75" customHeight="1" x14ac:dyDescent="0.25">
      <c r="A34" s="654"/>
      <c r="B34" s="785"/>
      <c r="C34" s="1439" t="s">
        <v>314</v>
      </c>
      <c r="D34" s="1439"/>
      <c r="E34" s="1439"/>
      <c r="F34" s="1439"/>
      <c r="G34" s="1439"/>
      <c r="H34" s="1609" t="str">
        <f>IF(NOT(ISBLANK(Worksheet!U238)),Worksheet!U238,"unknown.")</f>
        <v>unknown.</v>
      </c>
      <c r="I34" s="1594"/>
      <c r="J34" s="1594"/>
      <c r="K34" s="1594"/>
      <c r="L34" s="1390" t="str">
        <f>IF(OR(NOT(ISBLANK(Worksheet!G241)),NOT(ISBLANK(Worksheet!G242)),NOT(ISBLANK(Worksheet!G243))),"Parent B was previously established as parent","")</f>
        <v/>
      </c>
      <c r="M34" s="1390"/>
      <c r="N34" s="1390"/>
      <c r="O34" s="1390"/>
      <c r="P34" s="1390"/>
      <c r="Q34" s="1390"/>
      <c r="R34" s="1390"/>
      <c r="S34" s="1390"/>
      <c r="T34" s="1390"/>
      <c r="U34" s="590"/>
      <c r="V34" s="592"/>
      <c r="W34" s="592"/>
      <c r="X34" s="592"/>
      <c r="Y34" s="592"/>
      <c r="Z34" s="592"/>
      <c r="AA34" s="592"/>
      <c r="AB34" s="592"/>
      <c r="AC34" s="592"/>
      <c r="AD34" s="592"/>
      <c r="AE34" s="592"/>
      <c r="AF34" s="592"/>
      <c r="AG34" s="592"/>
      <c r="AH34" s="592"/>
      <c r="AI34" s="592"/>
      <c r="AJ34" s="592"/>
      <c r="AK34" s="592"/>
      <c r="AL34" s="592"/>
    </row>
    <row r="35" spans="1:38" ht="12.75" customHeight="1" x14ac:dyDescent="0.25">
      <c r="A35" s="654"/>
      <c r="B35" s="785"/>
      <c r="C35" s="1407" t="str">
        <f>IF(NOT(ISBLANK(Worksheet!G241)),"pursuant to a court order.",IF(NOT(ISBLANK(Worksheet!G242)),"pursuant to a valid acknowledgment of paternity filed with the Clerk of the Superior Court.",IF(NOT(ISBLANK(Worksheet!G243)),"pursuant to a valid acknowledgment of paternity filed with the Arizona Department of Economic Security.","")))</f>
        <v/>
      </c>
      <c r="D35" s="1452"/>
      <c r="E35" s="1452"/>
      <c r="F35" s="1452"/>
      <c r="G35" s="1452"/>
      <c r="H35" s="1452"/>
      <c r="I35" s="1452"/>
      <c r="J35" s="1452"/>
      <c r="K35" s="1452"/>
      <c r="L35" s="1452"/>
      <c r="M35" s="1452"/>
      <c r="N35" s="1452"/>
      <c r="O35" s="1452"/>
      <c r="P35" s="1452"/>
      <c r="Q35" s="1452"/>
      <c r="R35" s="1452"/>
      <c r="S35" s="1452"/>
      <c r="T35" s="1452"/>
      <c r="U35" s="590"/>
      <c r="V35" s="592"/>
      <c r="W35" s="592"/>
      <c r="X35" s="592"/>
      <c r="Y35" s="592"/>
      <c r="Z35" s="592"/>
      <c r="AA35" s="592"/>
      <c r="AB35" s="592"/>
      <c r="AC35" s="592"/>
      <c r="AD35" s="592"/>
      <c r="AE35" s="592"/>
      <c r="AF35" s="592"/>
      <c r="AG35" s="592"/>
      <c r="AH35" s="592"/>
      <c r="AI35" s="592"/>
      <c r="AJ35" s="592"/>
      <c r="AK35" s="592"/>
      <c r="AL35" s="592"/>
    </row>
    <row r="36" spans="1:38" x14ac:dyDescent="0.25">
      <c r="A36" s="654"/>
      <c r="B36" s="785"/>
      <c r="C36" s="678"/>
      <c r="D36" s="669"/>
      <c r="E36" s="669"/>
      <c r="F36" s="669"/>
      <c r="G36" s="669"/>
      <c r="H36" s="669"/>
      <c r="I36" s="669"/>
      <c r="J36" s="669"/>
      <c r="K36" s="669"/>
      <c r="L36" s="666"/>
      <c r="M36" s="666"/>
      <c r="N36" s="666"/>
      <c r="O36" s="666"/>
      <c r="P36" s="666"/>
      <c r="Q36" s="666"/>
      <c r="R36" s="666"/>
      <c r="S36" s="666"/>
      <c r="T36" s="666"/>
      <c r="U36" s="590"/>
      <c r="V36" s="592"/>
      <c r="W36" s="592"/>
      <c r="X36" s="592"/>
      <c r="Y36" s="592"/>
      <c r="Z36" s="592"/>
      <c r="AA36" s="592"/>
      <c r="AB36" s="592"/>
      <c r="AC36" s="592"/>
      <c r="AD36" s="592"/>
      <c r="AE36" s="592"/>
      <c r="AF36" s="592"/>
      <c r="AG36" s="592"/>
      <c r="AH36" s="592"/>
      <c r="AI36" s="592"/>
      <c r="AJ36" s="592"/>
      <c r="AK36" s="592"/>
      <c r="AL36" s="592"/>
    </row>
    <row r="37" spans="1:38" ht="12.75" customHeight="1" x14ac:dyDescent="0.25">
      <c r="A37" s="654"/>
      <c r="B37" s="785" t="s">
        <v>260</v>
      </c>
      <c r="C37" s="1406" t="str">
        <f>IF(NOT(ISBLANK(Worksheet!T245)),"Presumptive Parent.","Presumptive Father.")</f>
        <v>Presumptive Father.</v>
      </c>
      <c r="D37" s="950"/>
      <c r="E37" s="950"/>
      <c r="F37" s="950"/>
      <c r="G37" s="1390" t="str">
        <f>IF(NOT(ISBLANK(Worksheet!T245)),IF(AND(OR(NOT(ISBLANK(Worksheet!G247)),NOT(ISBLANK(Worksheet!G248)),NOT(ISBLANK(Worksheet!J245))),Worksheet!U47=1),"The presumptive parent of the minor child is",IF(AND(OR(NOT(ISBLANK(Worksheet!G247)),NOT(ISBLANK(Worksheet!G248)),NOT(ISBLANK(Worksheet!J245))),Worksheet!U47&gt;1),"The presumptive parent of the minor children is","There is no presumptive parent in this case.")),IF(AND(OR(NOT(ISBLANK(Worksheet!G247)),NOT(ISBLANK(Worksheet!G248)),NOT(ISBLANK(Worksheet!J245))),Worksheet!U47=1),"The presumptive father of the minor child is",IF(AND(OR(NOT(ISBLANK(Worksheet!G247)),NOT(ISBLANK(Worksheet!G248)),NOT(ISBLANK(Worksheet!J245))),Worksheet!U47&gt;1),"The presumptive father of the minor children is","There is no presumptive father in this case.")))</f>
        <v>There is no presumptive father in this case.</v>
      </c>
      <c r="H37" s="1411"/>
      <c r="I37" s="1411"/>
      <c r="J37" s="1411"/>
      <c r="K37" s="1411"/>
      <c r="L37" s="1411"/>
      <c r="M37" s="1411"/>
      <c r="N37" s="1411"/>
      <c r="O37" s="1610" t="str">
        <f>IF(OR(NOT(ISBLANK(Worksheet!G247)),NOT(ISBLANK(Worksheet!G248)),NOT(ISBLANK(Worksheet!J245))),Worksheet!J245&amp;".","")</f>
        <v/>
      </c>
      <c r="P37" s="1610"/>
      <c r="Q37" s="1610"/>
      <c r="R37" s="1610"/>
      <c r="S37" s="1610"/>
      <c r="T37" s="1610"/>
      <c r="U37" s="590"/>
      <c r="V37" s="592"/>
      <c r="W37" s="592"/>
      <c r="X37" s="592"/>
      <c r="Y37" s="592"/>
      <c r="Z37" s="592"/>
      <c r="AA37" s="592"/>
      <c r="AB37" s="592"/>
      <c r="AC37" s="592"/>
      <c r="AD37" s="592"/>
      <c r="AE37" s="592"/>
      <c r="AF37" s="592"/>
      <c r="AG37" s="592"/>
      <c r="AH37" s="592"/>
      <c r="AI37" s="592"/>
      <c r="AJ37" s="592"/>
      <c r="AK37" s="592"/>
      <c r="AL37" s="592"/>
    </row>
    <row r="38" spans="1:38" ht="39.75" customHeight="1" x14ac:dyDescent="0.25">
      <c r="A38" s="654"/>
      <c r="B38" s="785"/>
      <c r="C38" s="1506" t="str">
        <f>IF(NOT(ISBLANK(Worksheet!T245)),IF(AND(NOT(ISBLANK(Worksheet!G247)),Worksheet!U47=1),Paragraphs!B6,IF(AND(NOT(ISBLANK(Worksheet!G247)),Worksheet!U47&gt;1),Paragraphs!B7,IF(AND(NOT(ISBLANK(Worksheet!G248)),Worksheet!U47=1),Paragraphs!B8,IF(AND(NOT(ISBLANK(Worksheet!G248)),Worksheet!U47&gt;1),Paragraphs!B9,"")))),IF(AND(NOT(ISBLANK(Worksheet!G247)),Worksheet!U47=1),Paragraphs!B2,IF(AND(NOT(ISBLANK(Worksheet!G247)),Worksheet!U47&gt;1),Paragraphs!B3,IF(AND(NOT(ISBLANK(Worksheet!G248)),Worksheet!U47=1),Paragraphs!B4,IF(AND(NOT(ISBLANK(Worksheet!G248)),Worksheet!U47&gt;1),Paragraphs!B5,"")))))</f>
        <v/>
      </c>
      <c r="D38" s="1455"/>
      <c r="E38" s="1455"/>
      <c r="F38" s="1455"/>
      <c r="G38" s="1455"/>
      <c r="H38" s="1455"/>
      <c r="I38" s="1455"/>
      <c r="J38" s="1455"/>
      <c r="K38" s="1455"/>
      <c r="L38" s="1455"/>
      <c r="M38" s="1455"/>
      <c r="N38" s="1455"/>
      <c r="O38" s="1455"/>
      <c r="P38" s="1455"/>
      <c r="Q38" s="1455"/>
      <c r="R38" s="1455"/>
      <c r="S38" s="1455"/>
      <c r="T38" s="1455"/>
      <c r="U38" s="590"/>
      <c r="V38" s="592"/>
      <c r="W38" s="592"/>
      <c r="X38" s="592"/>
      <c r="Y38" s="592"/>
      <c r="Z38" s="592"/>
      <c r="AA38" s="592"/>
      <c r="AB38" s="592"/>
      <c r="AC38" s="592"/>
      <c r="AD38" s="592"/>
      <c r="AE38" s="592"/>
      <c r="AF38" s="592"/>
      <c r="AG38" s="592"/>
      <c r="AH38" s="592"/>
      <c r="AI38" s="592"/>
      <c r="AJ38" s="592"/>
      <c r="AK38" s="592"/>
      <c r="AL38" s="592"/>
    </row>
    <row r="39" spans="1:38" ht="11.25" customHeight="1" x14ac:dyDescent="0.25">
      <c r="A39" s="654"/>
      <c r="B39" s="785"/>
      <c r="C39" s="1453"/>
      <c r="D39" s="1452"/>
      <c r="E39" s="1452"/>
      <c r="F39" s="1452"/>
      <c r="G39" s="1452"/>
      <c r="H39" s="1452"/>
      <c r="I39" s="1452"/>
      <c r="J39" s="1452"/>
      <c r="K39" s="1452"/>
      <c r="L39" s="1452"/>
      <c r="M39" s="1452"/>
      <c r="N39" s="1452"/>
      <c r="O39" s="1452"/>
      <c r="P39" s="1452"/>
      <c r="Q39" s="1452"/>
      <c r="R39" s="1452"/>
      <c r="S39" s="1452"/>
      <c r="T39" s="1452"/>
      <c r="U39" s="590"/>
      <c r="V39" s="592"/>
      <c r="W39" s="592"/>
      <c r="X39" s="592"/>
      <c r="Y39" s="592"/>
      <c r="Z39" s="592"/>
      <c r="AA39" s="592"/>
      <c r="AB39" s="592"/>
      <c r="AC39" s="592"/>
      <c r="AD39" s="592"/>
      <c r="AE39" s="592"/>
      <c r="AF39" s="592"/>
      <c r="AG39" s="592"/>
      <c r="AH39" s="592"/>
      <c r="AI39" s="592"/>
      <c r="AJ39" s="592"/>
      <c r="AK39" s="592"/>
      <c r="AL39" s="592"/>
    </row>
    <row r="40" spans="1:38" x14ac:dyDescent="0.25">
      <c r="A40" s="654"/>
      <c r="B40" s="785" t="s">
        <v>262</v>
      </c>
      <c r="C40" s="1626" t="s">
        <v>316</v>
      </c>
      <c r="D40" s="951"/>
      <c r="E40" s="951"/>
      <c r="F40" s="951"/>
      <c r="G40" s="951"/>
      <c r="H40" s="1452" t="str">
        <f>IF(OR(Worksheet!G250="x",NOT(ISBLANK(Worksheet!G251)),NOT(ISBLANK(Worksheet!G252)),NOT(ISBLANK(Worksheet!G253))),VLOOKUP(Paragraphs!A17,Paragraphs!A22:'Paragraphs'!B181,2,FALSE),"There is no custody order for the minor ")</f>
        <v xml:space="preserve">There is no legal decision-making or parenting time order for the minor </v>
      </c>
      <c r="I40" s="1542"/>
      <c r="J40" s="1542"/>
      <c r="K40" s="1542"/>
      <c r="L40" s="1542"/>
      <c r="M40" s="1542"/>
      <c r="N40" s="1542"/>
      <c r="O40" s="1542"/>
      <c r="P40" s="1542"/>
      <c r="Q40" s="1542"/>
      <c r="R40" s="1542"/>
      <c r="S40" s="1542"/>
      <c r="T40" s="1542"/>
      <c r="U40" s="590"/>
      <c r="V40" s="592"/>
      <c r="W40" s="592"/>
      <c r="X40" s="592"/>
      <c r="Y40" s="592"/>
      <c r="Z40" s="592"/>
      <c r="AA40" s="592"/>
      <c r="AB40" s="592"/>
      <c r="AC40" s="592"/>
      <c r="AD40" s="592"/>
      <c r="AE40" s="592"/>
      <c r="AF40" s="592"/>
      <c r="AG40" s="592"/>
      <c r="AH40" s="592"/>
      <c r="AI40" s="592"/>
      <c r="AJ40" s="592"/>
      <c r="AK40" s="592"/>
      <c r="AL40" s="592"/>
    </row>
    <row r="41" spans="1:38" ht="53.25" customHeight="1" x14ac:dyDescent="0.25">
      <c r="A41" s="654"/>
      <c r="B41" s="785"/>
      <c r="C41" s="1498" t="str">
        <f>IF(OR(Worksheet!G250="x",NOT(ISBLANK(Worksheet!G251)),NOT(ISBLANK(Worksheet!G252)),NOT(ISBLANK(Worksheet!G253))),VLOOKUP(Paragraphs!A18,Paragraphs!A22:'Paragraphs'!B181,2,FALSE),"child[ren] but the minor child[ren] currently reside with obligee.")</f>
        <v>child[ren] but the minor child[ren] currently reside[s] with obligee.</v>
      </c>
      <c r="D41" s="1498"/>
      <c r="E41" s="1498"/>
      <c r="F41" s="1498"/>
      <c r="G41" s="1498"/>
      <c r="H41" s="1498"/>
      <c r="I41" s="1498"/>
      <c r="J41" s="1498"/>
      <c r="K41" s="1498"/>
      <c r="L41" s="1498"/>
      <c r="M41" s="1498"/>
      <c r="N41" s="1498"/>
      <c r="O41" s="1498"/>
      <c r="P41" s="1498"/>
      <c r="Q41" s="1498"/>
      <c r="R41" s="1498"/>
      <c r="S41" s="1498"/>
      <c r="T41" s="692"/>
      <c r="U41" s="666"/>
      <c r="V41" s="698"/>
      <c r="W41" s="698"/>
      <c r="X41" s="698"/>
      <c r="Y41" s="698"/>
      <c r="Z41" s="698"/>
      <c r="AA41" s="698"/>
      <c r="AB41" s="698"/>
      <c r="AC41" s="698"/>
      <c r="AD41" s="698"/>
      <c r="AE41" s="698"/>
      <c r="AF41" s="698"/>
      <c r="AG41" s="698"/>
      <c r="AH41" s="698"/>
      <c r="AI41" s="698"/>
      <c r="AJ41" s="698"/>
      <c r="AK41" s="698"/>
      <c r="AL41" s="698"/>
    </row>
    <row r="42" spans="1:38" x14ac:dyDescent="0.25">
      <c r="A42" s="613"/>
      <c r="B42" s="202"/>
      <c r="C42" s="321"/>
      <c r="D42" s="796"/>
      <c r="E42" s="796"/>
      <c r="F42" s="796"/>
      <c r="G42" s="796"/>
      <c r="H42" s="796"/>
      <c r="I42" s="796"/>
      <c r="J42" s="796"/>
      <c r="K42" s="796"/>
      <c r="L42" s="796"/>
      <c r="M42" s="796"/>
      <c r="N42" s="796"/>
      <c r="O42" s="1591" t="s">
        <v>247</v>
      </c>
      <c r="P42" s="1452"/>
      <c r="Q42" s="1594" t="str">
        <f>CaseNumber</f>
        <v/>
      </c>
      <c r="R42" s="1448"/>
      <c r="S42" s="1448"/>
      <c r="T42" s="1448"/>
      <c r="U42" s="590"/>
      <c r="V42" s="592"/>
      <c r="W42" s="592"/>
      <c r="X42" s="592"/>
      <c r="Y42" s="592"/>
      <c r="Z42" s="592"/>
      <c r="AA42" s="592"/>
      <c r="AB42" s="592"/>
      <c r="AC42" s="592"/>
      <c r="AD42" s="592"/>
      <c r="AE42" s="592"/>
      <c r="AF42" s="592"/>
      <c r="AG42" s="592"/>
      <c r="AH42" s="592"/>
      <c r="AI42" s="592"/>
      <c r="AJ42" s="592"/>
      <c r="AK42" s="592"/>
      <c r="AL42" s="592"/>
    </row>
    <row r="43" spans="1:38" x14ac:dyDescent="0.25">
      <c r="A43" s="613"/>
      <c r="B43" s="785"/>
      <c r="C43" s="678"/>
      <c r="D43" s="796"/>
      <c r="E43" s="796"/>
      <c r="F43" s="796"/>
      <c r="G43" s="796"/>
      <c r="H43" s="796"/>
      <c r="I43" s="796"/>
      <c r="J43" s="796"/>
      <c r="K43" s="796"/>
      <c r="L43" s="796"/>
      <c r="M43" s="796"/>
      <c r="N43" s="796"/>
      <c r="O43" s="796"/>
      <c r="P43" s="695"/>
      <c r="Q43" s="695"/>
      <c r="R43" s="695"/>
      <c r="S43" s="695"/>
      <c r="T43" s="700"/>
      <c r="U43" s="590"/>
      <c r="V43" s="592"/>
      <c r="W43" s="592"/>
      <c r="X43" s="592"/>
      <c r="Y43" s="592"/>
      <c r="Z43" s="592"/>
      <c r="AA43" s="592"/>
      <c r="AB43" s="592"/>
      <c r="AC43" s="592"/>
      <c r="AD43" s="592"/>
      <c r="AE43" s="592"/>
      <c r="AF43" s="592"/>
      <c r="AG43" s="592"/>
      <c r="AH43" s="592"/>
      <c r="AI43" s="592"/>
      <c r="AJ43" s="592"/>
      <c r="AK43" s="592"/>
      <c r="AL43" s="592"/>
    </row>
    <row r="44" spans="1:38" ht="41.25" customHeight="1" x14ac:dyDescent="0.25">
      <c r="A44" s="613"/>
      <c r="B44" s="785" t="s">
        <v>288</v>
      </c>
      <c r="C44" s="1406" t="s">
        <v>255</v>
      </c>
      <c r="D44" s="1411"/>
      <c r="E44" s="1411"/>
      <c r="F44" s="1411"/>
      <c r="G44" s="1411"/>
      <c r="H44" s="1411"/>
      <c r="I44" s="1411"/>
      <c r="J44" s="1411"/>
      <c r="K44" s="1411"/>
      <c r="L44" s="1411"/>
      <c r="M44" s="1411"/>
      <c r="N44" s="1411"/>
      <c r="O44" s="1411"/>
      <c r="P44" s="1411"/>
      <c r="Q44" s="1411"/>
      <c r="R44" s="1411"/>
      <c r="S44" s="1411"/>
      <c r="T44" s="1411"/>
      <c r="U44" s="590"/>
      <c r="V44" s="592"/>
      <c r="W44" s="592"/>
      <c r="X44" s="592"/>
      <c r="Y44" s="592"/>
      <c r="Z44" s="592"/>
      <c r="AA44" s="592"/>
      <c r="AB44" s="592"/>
      <c r="AC44" s="592"/>
      <c r="AD44" s="592"/>
      <c r="AE44" s="592"/>
      <c r="AF44" s="592"/>
      <c r="AG44" s="592"/>
      <c r="AH44" s="592"/>
      <c r="AI44" s="592"/>
      <c r="AJ44" s="592"/>
      <c r="AK44" s="592"/>
      <c r="AL44" s="592"/>
    </row>
    <row r="45" spans="1:38" x14ac:dyDescent="0.25">
      <c r="A45" s="613"/>
      <c r="B45" s="785"/>
      <c r="C45" s="678"/>
      <c r="D45" s="662"/>
      <c r="E45" s="662"/>
      <c r="F45" s="662"/>
      <c r="G45" s="662"/>
      <c r="H45" s="593"/>
      <c r="I45" s="593"/>
      <c r="J45" s="593"/>
      <c r="K45" s="593"/>
      <c r="L45" s="593"/>
      <c r="M45" s="593"/>
      <c r="N45" s="593"/>
      <c r="O45" s="593"/>
      <c r="P45" s="593"/>
      <c r="Q45" s="593"/>
      <c r="R45" s="593"/>
      <c r="S45" s="593"/>
      <c r="T45" s="593"/>
      <c r="U45" s="590"/>
      <c r="V45" s="592"/>
      <c r="W45" s="592"/>
      <c r="X45" s="592"/>
      <c r="Y45" s="592"/>
      <c r="Z45" s="592"/>
      <c r="AA45" s="592"/>
      <c r="AB45" s="592"/>
      <c r="AC45" s="592"/>
      <c r="AD45" s="592"/>
      <c r="AE45" s="592"/>
      <c r="AF45" s="592"/>
      <c r="AG45" s="592"/>
      <c r="AH45" s="592"/>
      <c r="AI45" s="592"/>
      <c r="AJ45" s="592"/>
      <c r="AK45" s="592"/>
      <c r="AL45" s="592"/>
    </row>
    <row r="46" spans="1:38" ht="12.75" customHeight="1" x14ac:dyDescent="0.25">
      <c r="A46" s="613"/>
      <c r="B46" s="785" t="s">
        <v>290</v>
      </c>
      <c r="C46" s="1478" t="s">
        <v>259</v>
      </c>
      <c r="D46" s="951"/>
      <c r="E46" s="951"/>
      <c r="F46" s="1400" t="str">
        <f>PROPER(Obligor)&amp;" is obligated to pay child support to "&amp;PROPER(Obligee)&amp;" pursuant to the Arizona Child"</f>
        <v>The Obligor is obligated to pay child support to The Obligee pursuant to the Arizona Child</v>
      </c>
      <c r="G46" s="951"/>
      <c r="H46" s="951"/>
      <c r="I46" s="951"/>
      <c r="J46" s="951"/>
      <c r="K46" s="951"/>
      <c r="L46" s="951"/>
      <c r="M46" s="951"/>
      <c r="N46" s="951"/>
      <c r="O46" s="951"/>
      <c r="P46" s="951"/>
      <c r="Q46" s="951"/>
      <c r="R46" s="951"/>
      <c r="S46" s="951"/>
      <c r="T46" s="951"/>
      <c r="U46" s="590"/>
      <c r="V46" s="592"/>
      <c r="W46" s="592"/>
      <c r="X46" s="592"/>
      <c r="Y46" s="592"/>
      <c r="Z46" s="592"/>
      <c r="AA46" s="592"/>
      <c r="AB46" s="592"/>
      <c r="AC46" s="592"/>
      <c r="AD46" s="592"/>
      <c r="AE46" s="592"/>
      <c r="AF46" s="592"/>
      <c r="AG46" s="592"/>
      <c r="AH46" s="592"/>
      <c r="AI46" s="592"/>
      <c r="AJ46" s="592"/>
      <c r="AK46" s="592"/>
      <c r="AL46" s="592"/>
    </row>
    <row r="47" spans="1:38" ht="12.75" customHeight="1" x14ac:dyDescent="0.25">
      <c r="A47" s="613"/>
      <c r="B47" s="785"/>
      <c r="C47" s="1537" t="s">
        <v>317</v>
      </c>
      <c r="D47" s="1537"/>
      <c r="E47" s="1537"/>
      <c r="F47" s="1537"/>
      <c r="G47" s="1537"/>
      <c r="H47" s="1537"/>
      <c r="I47" s="1537"/>
      <c r="J47" s="1595" t="str">
        <f>IF(Obligor="Parent B", Worksheet!Y80,Worksheet!U80)</f>
        <v/>
      </c>
      <c r="K47" s="1596"/>
      <c r="L47" s="1597"/>
      <c r="M47" s="1537" t="str">
        <f>IF(AND(ISBLANK(Worksheet!G98),ISBLANK(Worksheet!G99))," per month."," per month without deviation.")</f>
        <v xml:space="preserve"> per month.</v>
      </c>
      <c r="N47" s="1537"/>
      <c r="O47" s="1537"/>
      <c r="P47" s="1537"/>
      <c r="Q47" s="1537"/>
      <c r="R47" s="1537"/>
      <c r="S47" s="1537"/>
      <c r="T47" s="1537"/>
      <c r="U47" s="590"/>
      <c r="V47" s="592"/>
      <c r="W47" s="592"/>
      <c r="X47" s="592"/>
      <c r="Y47" s="592"/>
      <c r="Z47" s="592"/>
      <c r="AA47" s="592"/>
      <c r="AB47" s="592"/>
      <c r="AC47" s="592"/>
      <c r="AD47" s="592"/>
      <c r="AE47" s="592"/>
      <c r="AF47" s="592"/>
      <c r="AG47" s="592"/>
      <c r="AH47" s="592"/>
      <c r="AI47" s="592"/>
      <c r="AJ47" s="592"/>
      <c r="AK47" s="592"/>
      <c r="AL47" s="592"/>
    </row>
    <row r="48" spans="1:38" ht="25.5" customHeight="1" x14ac:dyDescent="0.25">
      <c r="A48" s="613"/>
      <c r="B48" s="785"/>
      <c r="C48" s="1407" t="str">
        <f>IF(OR(NOT(ISBLANK(Worksheet!G98)),NOT(ISBLANK(Worksheet!G99))),"Application of the child support guidelines in this case is inappropriate or unjust.  The Court has considered the best interests of the "&amp;ChildChildren&amp;" in determining that a deviation is appropriate.  After deviation the child ",IF(AND(ISNUMBER(Worksheet!S96),Worksheet!G97="x"),"This amount is an appropriate amount to award for child support in this case excepting that the Court finds it more appropriate and just to make a de minimus adjustment to the exact Guidelines amount for ease of",""))</f>
        <v/>
      </c>
      <c r="D48" s="1411"/>
      <c r="E48" s="1411"/>
      <c r="F48" s="1411"/>
      <c r="G48" s="1411"/>
      <c r="H48" s="1411"/>
      <c r="I48" s="1411"/>
      <c r="J48" s="1411"/>
      <c r="K48" s="1411"/>
      <c r="L48" s="1411"/>
      <c r="M48" s="1411"/>
      <c r="N48" s="1411"/>
      <c r="O48" s="1411"/>
      <c r="P48" s="1411"/>
      <c r="Q48" s="1411"/>
      <c r="R48" s="1411"/>
      <c r="S48" s="1411"/>
      <c r="T48" s="1411"/>
      <c r="U48" s="590"/>
      <c r="V48" s="592"/>
      <c r="W48" s="592"/>
      <c r="X48" s="592"/>
      <c r="Y48" s="592"/>
      <c r="Z48" s="592"/>
      <c r="AA48" s="592"/>
      <c r="AB48" s="592"/>
      <c r="AC48" s="592"/>
      <c r="AD48" s="592"/>
      <c r="AE48" s="592"/>
      <c r="AF48" s="592"/>
      <c r="AG48" s="592"/>
      <c r="AH48" s="592"/>
      <c r="AI48" s="592"/>
      <c r="AJ48" s="592"/>
      <c r="AK48" s="592"/>
      <c r="AL48" s="592"/>
    </row>
    <row r="49" spans="1:21" ht="12.75" customHeight="1" x14ac:dyDescent="0.25">
      <c r="A49" s="613"/>
      <c r="B49" s="785"/>
      <c r="C49" s="1400" t="str">
        <f>IF(OR(NOT(ISBLANK(Worksheet!G98)),NOT(ISBLANK(Worksheet!G99))),"support order is",IF(AND(ISNUMBER(Worksheet!S96),Worksheet!G97="x"),"calculation to",""))</f>
        <v/>
      </c>
      <c r="D49" s="1542"/>
      <c r="E49" s="1542"/>
      <c r="F49" s="1563" t="str">
        <f>IF(OR(NOT(ISBLANK(Worksheet!$G$98)),NOT(ISBLANK(Worksheet!$G$99)),ISNUMBER(Worksheet!$S$96)),Worksheet!$H$102,"")</f>
        <v/>
      </c>
      <c r="G49" s="1622"/>
      <c r="H49" s="1622"/>
      <c r="I49" s="1407" t="str">
        <f>IF(NOT(ISBLANK(Worksheet!G98))," per month.  Further, the parties have entered into a written or ",IF(OR(NOT(ISBLANK(Worksheet!G98)),NOT(ISBLANK(Worksheet!G99)),AND(ISNUMBER(Worksheet!$S$96),Worksheet!$G$97="x"))," per month.",""))</f>
        <v/>
      </c>
      <c r="J49" s="1395"/>
      <c r="K49" s="1395"/>
      <c r="L49" s="1395"/>
      <c r="M49" s="1395"/>
      <c r="N49" s="1395"/>
      <c r="O49" s="1395"/>
      <c r="P49" s="1395"/>
      <c r="Q49" s="1395"/>
      <c r="R49" s="1395"/>
      <c r="S49" s="1395"/>
      <c r="T49" s="950"/>
      <c r="U49" s="590"/>
    </row>
    <row r="50" spans="1:21" ht="39.75" customHeight="1" x14ac:dyDescent="0.25">
      <c r="A50" s="613"/>
      <c r="B50" s="785"/>
      <c r="C50" s="1407" t="str">
        <f>IF(NOT(ISBLANK(Worksheet!G98)),"record agreement free of duress and coercion to deviate with knowledge of the amount of child support that would have been ordered under the guidelines but for the agreement.  "&amp;Worksheet!G100,IF(NOT(ISBLANK(Worksheet!G100)),Worksheet!G100,""))</f>
        <v/>
      </c>
      <c r="D50" s="1452"/>
      <c r="E50" s="1452"/>
      <c r="F50" s="1452"/>
      <c r="G50" s="1452"/>
      <c r="H50" s="1452"/>
      <c r="I50" s="1452"/>
      <c r="J50" s="1452"/>
      <c r="K50" s="1452"/>
      <c r="L50" s="1452"/>
      <c r="M50" s="1452"/>
      <c r="N50" s="1452"/>
      <c r="O50" s="1452"/>
      <c r="P50" s="1452"/>
      <c r="Q50" s="1452"/>
      <c r="R50" s="1452"/>
      <c r="S50" s="1452"/>
      <c r="T50" s="1452"/>
      <c r="U50" s="590"/>
    </row>
    <row r="51" spans="1:21" x14ac:dyDescent="0.25">
      <c r="A51" s="613"/>
      <c r="B51" s="785" t="s">
        <v>293</v>
      </c>
      <c r="C51" s="1438" t="s">
        <v>263</v>
      </c>
      <c r="D51" s="1018"/>
      <c r="E51" s="1018"/>
      <c r="F51" s="680" t="str">
        <f>IF(ISBLANK(Worksheet!G112),"The evidence does not support a judgment for past support.","It is appropriate to award "&amp;Obligee&amp;" an additional judgment for past support in the amount of ")</f>
        <v>The evidence does not support a judgment for past support.</v>
      </c>
      <c r="G51" s="680"/>
      <c r="H51" s="680"/>
      <c r="I51" s="680"/>
      <c r="J51" s="680"/>
      <c r="K51" s="680"/>
      <c r="L51" s="680"/>
      <c r="M51" s="680"/>
      <c r="N51" s="680"/>
      <c r="O51" s="680"/>
      <c r="P51" s="680"/>
      <c r="Q51" s="680"/>
      <c r="R51" s="680"/>
      <c r="S51" s="680"/>
      <c r="T51" s="680"/>
      <c r="U51" s="590"/>
    </row>
    <row r="52" spans="1:21" x14ac:dyDescent="0.25">
      <c r="A52" s="613"/>
      <c r="B52" s="785"/>
      <c r="C52" s="1632" t="str">
        <f>IF(ISBLANK(Worksheet!G112),"",Worksheet!M112)</f>
        <v/>
      </c>
      <c r="D52" s="1637"/>
      <c r="E52" s="1637"/>
      <c r="F52" s="1627" t="str">
        <f>IF(AND(NOT(ISBLANK(Worksheet!G112)),NOT(ISBLANK(Worksheet!H113)),NOT(ISBLANK(Worksheet!H114))),"as past support for the three-year period prior to filing of the current petition until today.",IF(AND(NOT(ISBLANK(Worksheet!G112)),NOT(ISBLANK(Worksheet!H113))),"for appropriate past support from the date of filing of the current petition until today.",IF(AND(NOT(ISBLANK(Worksheet!G112)),NOT(ISBLANK(Worksheet!H114))),"as past support that includes the three-year period prior to the filing of the current petition.",IF(NOT(ISBLANK(Worksheet!G112)),"for all past support including any period prior to the date of filing of the current petition.",""))))</f>
        <v/>
      </c>
      <c r="G52" s="1311"/>
      <c r="H52" s="1311"/>
      <c r="I52" s="1311"/>
      <c r="J52" s="1311"/>
      <c r="K52" s="1311"/>
      <c r="L52" s="1311"/>
      <c r="M52" s="1311"/>
      <c r="N52" s="1311"/>
      <c r="O52" s="1311"/>
      <c r="P52" s="1311"/>
      <c r="Q52" s="1311"/>
      <c r="R52" s="1311"/>
      <c r="S52" s="1311"/>
      <c r="T52" s="1311"/>
      <c r="U52" s="590"/>
    </row>
    <row r="53" spans="1:21" ht="1.2" customHeight="1" x14ac:dyDescent="0.25">
      <c r="A53" s="613"/>
      <c r="B53" s="785"/>
      <c r="C53" s="797"/>
      <c r="D53" s="263"/>
      <c r="E53" s="124"/>
      <c r="F53" s="124"/>
      <c r="G53" s="49"/>
      <c r="H53" s="689"/>
      <c r="I53" s="689"/>
      <c r="J53" s="689"/>
      <c r="K53" s="689"/>
      <c r="L53" s="644"/>
      <c r="M53" s="122"/>
      <c r="N53" s="122"/>
      <c r="O53" s="122"/>
      <c r="P53" s="123"/>
      <c r="Q53" s="74"/>
      <c r="R53" s="74"/>
      <c r="S53" s="722"/>
      <c r="T53" s="722"/>
      <c r="U53" s="590"/>
    </row>
    <row r="54" spans="1:21" x14ac:dyDescent="0.25">
      <c r="A54" s="613"/>
      <c r="B54" s="785"/>
      <c r="C54" s="104"/>
      <c r="D54" s="104"/>
      <c r="E54" s="104"/>
      <c r="F54" s="104"/>
      <c r="G54" s="105"/>
      <c r="H54" s="105"/>
      <c r="I54" s="105"/>
      <c r="J54" s="105"/>
      <c r="K54" s="105"/>
      <c r="L54" s="105"/>
      <c r="M54" s="105"/>
      <c r="N54" s="105"/>
      <c r="O54" s="105"/>
      <c r="P54" s="105"/>
      <c r="Q54" s="105"/>
      <c r="R54" s="105"/>
      <c r="S54" s="105"/>
      <c r="T54" s="105"/>
      <c r="U54" s="590"/>
    </row>
    <row r="55" spans="1:21" ht="12.75" customHeight="1" x14ac:dyDescent="0.25">
      <c r="A55" s="613"/>
      <c r="B55" s="785" t="s">
        <v>295</v>
      </c>
      <c r="C55" s="1438" t="s">
        <v>261</v>
      </c>
      <c r="D55" s="1018"/>
      <c r="E55" s="865"/>
      <c r="F55" s="1440" t="str">
        <f>IF(NOT(ISBLANK(Worksheet!G106)),Obligor&amp;" owes child support arrearages to "&amp;Obligee&amp;" in the total sum of",IF(Worksheet!G105="x","  No evidence was presented in support of any child support arrearage.","  Child support arrearages not addressed."))</f>
        <v xml:space="preserve">  No evidence was presented in support of any child support arrearage.</v>
      </c>
      <c r="G55" s="1062"/>
      <c r="H55" s="1062"/>
      <c r="I55" s="1062"/>
      <c r="J55" s="1062"/>
      <c r="K55" s="1062"/>
      <c r="L55" s="1062"/>
      <c r="M55" s="1062"/>
      <c r="N55" s="1062"/>
      <c r="O55" s="1062"/>
      <c r="P55" s="1062"/>
      <c r="Q55" s="1062"/>
      <c r="R55" s="1631" t="str">
        <f>IF(NOT(ISBLANK(Worksheet!G106)),Worksheet!Q106,"")</f>
        <v/>
      </c>
      <c r="S55" s="863"/>
      <c r="T55" s="863"/>
      <c r="U55" s="590"/>
    </row>
    <row r="56" spans="1:21" x14ac:dyDescent="0.25">
      <c r="A56" s="613"/>
      <c r="B56" s="785"/>
      <c r="C56" s="1630" t="str">
        <f>IF(NOT(ISBLANK(Worksheet!G106)),"for the time period of","")</f>
        <v/>
      </c>
      <c r="D56" s="1018"/>
      <c r="E56" s="1018"/>
      <c r="F56" s="1018"/>
      <c r="G56" s="1620" t="str">
        <f>IF(AND(NOT(ISBLANK(Worksheet!G106)),NOT(ISBLANK(Worksheet!M107))),Worksheet!M107,"")</f>
        <v/>
      </c>
      <c r="H56" s="1629"/>
      <c r="I56" s="1629"/>
      <c r="J56" s="1629"/>
      <c r="K56" s="1618" t="str">
        <f>IF(NOT(ISBLANK(Worksheet!G106)),"through","")</f>
        <v/>
      </c>
      <c r="L56" s="1619"/>
      <c r="M56" s="1620" t="str">
        <f>IF(AND(NOT(ISBLANK(Worksheet!G106)),NOT(ISBLANK(Worksheet!V107))),Worksheet!V107,"")</f>
        <v/>
      </c>
      <c r="N56" s="1621"/>
      <c r="O56" s="1621"/>
      <c r="P56" s="1621"/>
      <c r="Q56" s="115" t="str">
        <f>IF(AND(NOT(ISBLANK(Worksheet!G106)),ISNUMBER(Worksheet!M108)),"plus accrued interest","")</f>
        <v/>
      </c>
      <c r="R56" s="263"/>
      <c r="S56" s="106"/>
      <c r="T56" s="263"/>
      <c r="U56" s="590"/>
    </row>
    <row r="57" spans="1:21" s="185" customFormat="1" x14ac:dyDescent="0.25">
      <c r="A57" s="613"/>
      <c r="B57" s="785"/>
      <c r="C57" s="797" t="str">
        <f>IF(AND(NOT(ISBLANK(Worksheet!G106)),ISNUMBER(Worksheet!M108)),"on prior child support arrearages due of","")</f>
        <v/>
      </c>
      <c r="D57" s="644"/>
      <c r="E57" s="644"/>
      <c r="F57" s="644"/>
      <c r="G57" s="184"/>
      <c r="H57" s="193"/>
      <c r="I57" s="592"/>
      <c r="J57" s="1632" t="str">
        <f>IF(AND(NOT(ISBLANK(Worksheet!G106)),ISNUMBER(Worksheet!M108)),Worksheet!M108,"")</f>
        <v/>
      </c>
      <c r="K57" s="1633"/>
      <c r="L57" s="1633"/>
      <c r="M57" s="1619" t="str">
        <f>IF(AND(NOT(ISBLANK(Worksheet!G106)),NOT(ISBLANK(Worksheet!M108)),ISNUMBER(Worksheet!U108)),"calculated through","")</f>
        <v/>
      </c>
      <c r="N57" s="1636"/>
      <c r="O57" s="1636"/>
      <c r="P57" s="1634" t="str">
        <f>IF(AND(NOT(ISBLANK(Worksheet!G106)),NOT(ISBLANK(Worksheet!M108)),ISNUMBER(Worksheet!U108)),Worksheet!U108,"")</f>
        <v/>
      </c>
      <c r="Q57" s="1635"/>
      <c r="R57" s="1635"/>
      <c r="S57" s="1635"/>
      <c r="T57" s="1635"/>
      <c r="U57" s="590"/>
    </row>
    <row r="58" spans="1:21" x14ac:dyDescent="0.25">
      <c r="A58" s="613"/>
      <c r="B58" s="785"/>
      <c r="C58" s="785"/>
      <c r="D58" s="790"/>
      <c r="E58" s="790"/>
      <c r="F58" s="790"/>
      <c r="G58" s="790"/>
      <c r="H58" s="790"/>
      <c r="I58" s="790"/>
      <c r="J58" s="263"/>
      <c r="K58" s="263"/>
      <c r="L58" s="263"/>
      <c r="M58" s="263"/>
      <c r="N58" s="263"/>
      <c r="O58" s="263"/>
      <c r="P58" s="263"/>
      <c r="Q58" s="263"/>
      <c r="R58" s="263"/>
      <c r="S58" s="263"/>
      <c r="T58" s="790"/>
      <c r="U58" s="590"/>
    </row>
    <row r="59" spans="1:21" ht="12.75" customHeight="1" x14ac:dyDescent="0.25">
      <c r="A59" s="613"/>
      <c r="B59" s="785" t="s">
        <v>298</v>
      </c>
      <c r="C59" s="1406" t="s">
        <v>318</v>
      </c>
      <c r="D59" s="1452"/>
      <c r="E59" s="1452"/>
      <c r="F59" s="1452"/>
      <c r="G59" s="1390" t="str">
        <f>IF(AND(NOT(ISBLANK(Worksheet!G119)),Worksheet!T119="x"),"It is appropriate to award Parent B a judgment for paternity expenses in the sum of",IF(AND(NOT(ISBLANK(Worksheet!G119)),NOT(ISBLANK(Worksheet!X119))),"It is appropriate to award Parent A a judgment for paternity expenses in the sum of","The evidence does not support a judgment for A.R.S. §8-809(C) paternity expenses."))</f>
        <v>The evidence does not support a judgment for A.R.S. §8-809(C) paternity expenses.</v>
      </c>
      <c r="H59" s="1096"/>
      <c r="I59" s="1096"/>
      <c r="J59" s="1096"/>
      <c r="K59" s="1096"/>
      <c r="L59" s="1096"/>
      <c r="M59" s="1096"/>
      <c r="N59" s="1096"/>
      <c r="O59" s="1096"/>
      <c r="P59" s="1096"/>
      <c r="Q59" s="1096"/>
      <c r="R59" s="1096"/>
      <c r="S59" s="1096"/>
      <c r="T59" s="1096"/>
      <c r="U59" s="590"/>
    </row>
    <row r="60" spans="1:21" ht="12.75" customHeight="1" x14ac:dyDescent="0.25">
      <c r="A60" s="613"/>
      <c r="B60" s="678"/>
      <c r="C60" s="1480" t="str">
        <f>IF(NOT(ISBLANK(Worksheet!G119)),Worksheet!M119,"")</f>
        <v/>
      </c>
      <c r="D60" s="1480"/>
      <c r="E60" s="1480"/>
      <c r="F60" s="950" t="str">
        <f>IF(NOT(ISBLANK(Worksheet!G119)),"for all actual costs of pregnancy, childbirth, any genetic testing and other related costs.","")</f>
        <v/>
      </c>
      <c r="G60" s="951"/>
      <c r="H60" s="951"/>
      <c r="I60" s="951"/>
      <c r="J60" s="951"/>
      <c r="K60" s="951"/>
      <c r="L60" s="951"/>
      <c r="M60" s="951"/>
      <c r="N60" s="951"/>
      <c r="O60" s="951"/>
      <c r="P60" s="951"/>
      <c r="Q60" s="951"/>
      <c r="R60" s="951"/>
      <c r="S60" s="951"/>
      <c r="T60" s="951"/>
      <c r="U60" s="590"/>
    </row>
    <row r="61" spans="1:21" ht="7.5" customHeight="1" x14ac:dyDescent="0.25">
      <c r="A61" s="613"/>
      <c r="B61" s="322"/>
      <c r="C61" s="678"/>
      <c r="D61" s="669"/>
      <c r="E61" s="669"/>
      <c r="F61" s="669"/>
      <c r="G61" s="669"/>
      <c r="H61" s="669"/>
      <c r="I61" s="669"/>
      <c r="J61" s="669"/>
      <c r="K61" s="669"/>
      <c r="L61" s="669"/>
      <c r="M61" s="669"/>
      <c r="N61" s="669"/>
      <c r="O61" s="669"/>
      <c r="P61" s="702"/>
      <c r="Q61" s="702"/>
      <c r="R61" s="702"/>
      <c r="S61" s="669"/>
      <c r="T61" s="669"/>
      <c r="U61" s="590"/>
    </row>
    <row r="62" spans="1:21" x14ac:dyDescent="0.25">
      <c r="A62" s="613"/>
      <c r="B62" s="1490" t="s">
        <v>264</v>
      </c>
      <c r="C62" s="1490"/>
      <c r="D62" s="1523"/>
      <c r="E62" s="1523"/>
      <c r="F62" s="1523"/>
      <c r="G62" s="1523"/>
      <c r="H62" s="1523"/>
      <c r="I62" s="1523"/>
      <c r="J62" s="1523"/>
      <c r="K62" s="1523"/>
      <c r="L62" s="1523"/>
      <c r="M62" s="1523"/>
      <c r="N62" s="1523"/>
      <c r="O62" s="1523"/>
      <c r="P62" s="1523"/>
      <c r="Q62" s="1523"/>
      <c r="R62" s="1523"/>
      <c r="S62" s="1523"/>
      <c r="T62" s="1523"/>
      <c r="U62" s="590"/>
    </row>
    <row r="63" spans="1:21" x14ac:dyDescent="0.25">
      <c r="A63" s="613"/>
      <c r="B63" s="665"/>
      <c r="C63" s="665"/>
      <c r="D63" s="691"/>
      <c r="E63" s="691"/>
      <c r="F63" s="691"/>
      <c r="G63" s="691"/>
      <c r="H63" s="691"/>
      <c r="I63" s="691"/>
      <c r="J63" s="691"/>
      <c r="K63" s="691"/>
      <c r="L63" s="691"/>
      <c r="M63" s="691"/>
      <c r="N63" s="691"/>
      <c r="O63" s="691"/>
      <c r="P63" s="691"/>
      <c r="Q63" s="691"/>
      <c r="R63" s="691"/>
      <c r="S63" s="691"/>
      <c r="T63" s="691"/>
      <c r="U63" s="590"/>
    </row>
    <row r="64" spans="1:21" ht="12.75" customHeight="1" x14ac:dyDescent="0.25">
      <c r="A64" s="613"/>
      <c r="B64" s="678" t="s">
        <v>252</v>
      </c>
      <c r="C64" s="1523" t="s">
        <v>319</v>
      </c>
      <c r="D64" s="1523"/>
      <c r="E64" s="1523"/>
      <c r="F64" s="1608" t="str">
        <f>IF(AND(NOT(ISBLANK(Worksheet!I232)),NOT(ISBLANK(Worksheet!I239))),"Both parties ",IF(AND(NOT(ISBLANK(Worksheet!I232)),ISBLANK(Worksheet!I239)),Worksheet!I231,IF(AND(ISBLANK(Worksheet!I232),NOT(ISBLANK(Worksheet!I239))),Worksheet!I238,"")))</f>
        <v/>
      </c>
      <c r="G64" s="1638"/>
      <c r="H64" s="1638"/>
      <c r="I64" s="1638"/>
      <c r="J64" s="1638"/>
      <c r="K64" s="1638"/>
      <c r="L64" s="1390" t="str">
        <f>IF(AND(NOT(ISBLANK(Worksheet!I232)),NOT(ISBLANK(Worksheet!I239))),"are parents of the above-named "&amp;ChildChildren&amp;".",IF(OR(NOT(ISBLANK(Worksheet!I232)),NOT(ISBLANK(Worksheet!I239))),"is the parent of the above-named "&amp;ChildChildren&amp;".",""))</f>
        <v/>
      </c>
      <c r="M64" s="1390"/>
      <c r="N64" s="1390"/>
      <c r="O64" s="1390"/>
      <c r="P64" s="1390"/>
      <c r="Q64" s="1390"/>
      <c r="R64" s="1390"/>
      <c r="S64" s="1390"/>
      <c r="T64" s="1390"/>
      <c r="U64" s="590"/>
    </row>
    <row r="65" spans="1:21" ht="53.25" customHeight="1" x14ac:dyDescent="0.25">
      <c r="A65" s="613"/>
      <c r="B65" s="678"/>
      <c r="C65" s="1390" t="str">
        <f>IF(AND(ISBLANK(Worksheet!I232),ISBLANK(Worksheet!I239)),"",IF(AND(NOT(ISBLANK(Worksheet!I232)),NOT(ISBLANK(Worksheet!I239))),IF(Worksheet!U47=1,Paragraphs!B196,IF(Worksheet!U47&gt;1,Paragraphs!B197,Paragraphs!B198)),IF(Worksheet!U47=1,Paragraphs!B192,IF(Worksheet!U47&gt;1,Paragraphs!B193,Paragraphs!B194))))</f>
        <v/>
      </c>
      <c r="D65" s="1178"/>
      <c r="E65" s="1178"/>
      <c r="F65" s="1178"/>
      <c r="G65" s="1178"/>
      <c r="H65" s="1178"/>
      <c r="I65" s="1178"/>
      <c r="J65" s="1178"/>
      <c r="K65" s="1178"/>
      <c r="L65" s="1178"/>
      <c r="M65" s="1178"/>
      <c r="N65" s="1178"/>
      <c r="O65" s="1178"/>
      <c r="P65" s="1178"/>
      <c r="Q65" s="1178"/>
      <c r="R65" s="1178"/>
      <c r="S65" s="1178"/>
      <c r="T65" s="1178"/>
      <c r="U65" s="590"/>
    </row>
    <row r="66" spans="1:21" x14ac:dyDescent="0.25">
      <c r="A66" s="613"/>
      <c r="B66" s="678"/>
      <c r="C66" s="678"/>
      <c r="D66" s="696"/>
      <c r="E66" s="696"/>
      <c r="F66" s="696"/>
      <c r="G66" s="696"/>
      <c r="H66" s="696"/>
      <c r="I66" s="696"/>
      <c r="J66" s="696"/>
      <c r="K66" s="696"/>
      <c r="L66" s="696"/>
      <c r="M66" s="696"/>
      <c r="N66" s="696"/>
      <c r="O66" s="696"/>
      <c r="P66" s="696"/>
      <c r="Q66" s="696"/>
      <c r="R66" s="696"/>
      <c r="S66" s="696"/>
      <c r="T66" s="696"/>
      <c r="U66" s="590"/>
    </row>
    <row r="67" spans="1:21" x14ac:dyDescent="0.25">
      <c r="A67" s="613"/>
      <c r="B67" s="678" t="s">
        <v>254</v>
      </c>
      <c r="C67" s="1523" t="s">
        <v>320</v>
      </c>
      <c r="D67" s="1452"/>
      <c r="E67" s="1452"/>
      <c r="F67" s="1452"/>
      <c r="G67" s="1537" t="str">
        <f>IF(AND(Worksheet!G246="x",Worksheet!U47=1),"There is no other presumptive father of the minor child.",IF(AND(Worksheet!G246="x",Worksheet!U47&gt;1),"There is no other presumptive father of the minor children.",IF(AND(OR(NOT(ISBLANK(Worksheet!G247)),NOT(ISBLANK(Worksheet!G248))),Worksheet!U47=1),"The presumptive father is not the natural father of the minor child.",IF(AND(OR(NOT(ISBLANK(Worksheet!G247)),NOT(ISBLANK(Worksheet!G248))),Worksheet!U47&gt;1),"The presumptive father is not the natural father of the minor children.","There is no evidence of a presumptive father in this case."))))</f>
        <v>There is no other presumptive father of the minor children.</v>
      </c>
      <c r="H67" s="1439"/>
      <c r="I67" s="1439"/>
      <c r="J67" s="1439"/>
      <c r="K67" s="1439"/>
      <c r="L67" s="1439"/>
      <c r="M67" s="1439"/>
      <c r="N67" s="1439"/>
      <c r="O67" s="1439"/>
      <c r="P67" s="1439"/>
      <c r="Q67" s="1439"/>
      <c r="R67" s="1439"/>
      <c r="S67" s="1439"/>
      <c r="T67" s="1439"/>
      <c r="U67" s="590"/>
    </row>
    <row r="68" spans="1:21" x14ac:dyDescent="0.25">
      <c r="A68" s="613"/>
      <c r="B68" s="678"/>
      <c r="C68" s="678"/>
      <c r="D68" s="696"/>
      <c r="E68" s="696"/>
      <c r="F68" s="696"/>
      <c r="G68" s="696"/>
      <c r="H68" s="696"/>
      <c r="I68" s="696"/>
      <c r="J68" s="696"/>
      <c r="K68" s="696"/>
      <c r="L68" s="696"/>
      <c r="M68" s="696"/>
      <c r="N68" s="696"/>
      <c r="O68" s="696"/>
      <c r="P68" s="696"/>
      <c r="Q68" s="696"/>
      <c r="R68" s="696"/>
      <c r="S68" s="696"/>
      <c r="T68" s="696"/>
      <c r="U68" s="590"/>
    </row>
    <row r="69" spans="1:21" ht="12.75" customHeight="1" x14ac:dyDescent="0.25">
      <c r="A69" s="613"/>
      <c r="B69" s="678" t="s">
        <v>256</v>
      </c>
      <c r="C69" s="1431" t="s">
        <v>316</v>
      </c>
      <c r="D69" s="950"/>
      <c r="E69" s="951"/>
      <c r="F69" s="951"/>
      <c r="G69" s="951"/>
      <c r="H69" s="1390" t="str">
        <f>IF(OR(Worksheet!G250="x",NOT(ISBLANK(Worksheet!G251)),NOT(ISBLANK(Worksheet!G252)),NOT(ISBLANK(Worksheet!G253))),VLOOKUP(Paragraphs!A19,Paragraphs!A22:'Paragraphs'!B181,2,FALSE),"There is no legal decision-making or parenting time order for the minor ")</f>
        <v>The minor child[ren] currently reside with Obligee.</v>
      </c>
      <c r="I69" s="1096"/>
      <c r="J69" s="1096"/>
      <c r="K69" s="1096"/>
      <c r="L69" s="1096"/>
      <c r="M69" s="1096"/>
      <c r="N69" s="1096"/>
      <c r="O69" s="1096"/>
      <c r="P69" s="1096"/>
      <c r="Q69" s="1096"/>
      <c r="R69" s="1096"/>
      <c r="S69" s="1096"/>
      <c r="T69" s="1096"/>
      <c r="U69" s="590"/>
    </row>
    <row r="70" spans="1:21" s="301" customFormat="1" ht="12.75" customHeight="1" x14ac:dyDescent="0.25">
      <c r="A70" s="613"/>
      <c r="B70" s="678"/>
      <c r="C70" s="1410" t="str">
        <f>IF(ISBLANK((VLOOKUP(Paragraphs!A20,Paragraphs!A22:'Paragraphs'!B181,2,FALSE))),"",IF(OR(Worksheet!G250="x",NOT(ISBLANK(Worksheet!G251)),NOT(ISBLANK(Worksheet!G252)),NOT(ISBLANK(Worksheet!G253))),VLOOKUP(Paragraphs!A20,Paragraphs!A22:'Paragraphs'!B181,2,FALSE),"child[ren] but the minor child[ren] currently reside[s] with obligee."))</f>
        <v/>
      </c>
      <c r="D70" s="1096"/>
      <c r="E70" s="1096"/>
      <c r="F70" s="1096"/>
      <c r="G70" s="1096"/>
      <c r="H70" s="1096"/>
      <c r="I70" s="1096"/>
      <c r="J70" s="1096"/>
      <c r="K70" s="1096"/>
      <c r="L70" s="1096"/>
      <c r="M70" s="1096"/>
      <c r="N70" s="1096"/>
      <c r="O70" s="1096"/>
      <c r="P70" s="1096"/>
      <c r="Q70" s="1096"/>
      <c r="R70" s="1096"/>
      <c r="S70" s="1096"/>
      <c r="T70" s="1096"/>
      <c r="U70" s="590"/>
    </row>
    <row r="71" spans="1:21" x14ac:dyDescent="0.25">
      <c r="A71" s="613"/>
      <c r="B71" s="678"/>
      <c r="C71" s="678"/>
      <c r="D71" s="696"/>
      <c r="E71" s="696"/>
      <c r="F71" s="696"/>
      <c r="G71" s="696"/>
      <c r="H71" s="696"/>
      <c r="I71" s="696"/>
      <c r="J71" s="696"/>
      <c r="K71" s="696"/>
      <c r="L71" s="696"/>
      <c r="M71" s="696"/>
      <c r="N71" s="696"/>
      <c r="O71" s="590"/>
      <c r="P71" s="590"/>
      <c r="Q71" s="590"/>
      <c r="R71" s="696"/>
      <c r="S71" s="696"/>
      <c r="T71" s="696"/>
      <c r="U71" s="590"/>
    </row>
    <row r="72" spans="1:21" x14ac:dyDescent="0.25">
      <c r="A72" s="613"/>
      <c r="B72" s="678" t="s">
        <v>258</v>
      </c>
      <c r="C72" s="1431" t="s">
        <v>259</v>
      </c>
      <c r="D72" s="950"/>
      <c r="E72" s="951"/>
      <c r="F72" s="1537" t="str">
        <f>IF(Obligor="Parent A","Parent A shall pay child support to Parent B in the sum of",IF(Obligor="Parent B","Parent B shall pay child support to Parent A in the sum of","Obligor shall pay child support to obligee in the sum of"))</f>
        <v>Obligor shall pay child support to obligee in the sum of</v>
      </c>
      <c r="G72" s="1537"/>
      <c r="H72" s="1537"/>
      <c r="I72" s="1537"/>
      <c r="J72" s="1537"/>
      <c r="K72" s="1537"/>
      <c r="L72" s="1537"/>
      <c r="M72" s="1537"/>
      <c r="N72" s="1537"/>
      <c r="O72" s="1537"/>
      <c r="P72" s="1563" t="str">
        <f>IF(ISNUMBER(F49),F49,J47)</f>
        <v/>
      </c>
      <c r="Q72" s="1628"/>
      <c r="R72" s="1628"/>
      <c r="S72" s="648" t="s">
        <v>321</v>
      </c>
      <c r="T72" s="654"/>
      <c r="U72" s="590"/>
    </row>
    <row r="73" spans="1:21" s="185" customFormat="1" x14ac:dyDescent="0.25">
      <c r="A73" s="613"/>
      <c r="B73" s="678"/>
      <c r="C73" s="1015" t="s">
        <v>322</v>
      </c>
      <c r="D73" s="951"/>
      <c r="E73" s="951"/>
      <c r="F73" s="951"/>
      <c r="G73" s="951"/>
      <c r="H73" s="951"/>
      <c r="I73" s="951"/>
      <c r="J73" s="951"/>
      <c r="K73" s="951"/>
      <c r="L73" s="1600" t="str">
        <f>IF(OR(Obligor="Parent A",Obligor="Parent B"),Worksheet!N135,"")</f>
        <v/>
      </c>
      <c r="M73" s="1601"/>
      <c r="N73" s="1601"/>
      <c r="O73" s="1601"/>
      <c r="P73" s="339" t="s">
        <v>267</v>
      </c>
      <c r="Q73" s="340"/>
      <c r="R73" s="654"/>
      <c r="S73" s="654"/>
      <c r="T73" s="654"/>
      <c r="U73" s="590"/>
    </row>
    <row r="74" spans="1:21" x14ac:dyDescent="0.25">
      <c r="A74" s="613"/>
      <c r="B74" s="785"/>
      <c r="C74" s="785"/>
      <c r="D74" s="797"/>
      <c r="E74" s="797"/>
      <c r="F74" s="797"/>
      <c r="G74" s="797"/>
      <c r="H74" s="797"/>
      <c r="I74" s="797"/>
      <c r="J74" s="263"/>
      <c r="K74" s="263"/>
      <c r="L74" s="263"/>
      <c r="M74" s="263"/>
      <c r="N74" s="263"/>
      <c r="O74" s="797"/>
      <c r="P74" s="797"/>
      <c r="Q74" s="797"/>
      <c r="R74" s="263"/>
      <c r="S74" s="263"/>
      <c r="T74" s="263"/>
      <c r="U74" s="590"/>
    </row>
    <row r="75" spans="1:21" x14ac:dyDescent="0.25">
      <c r="A75" s="613"/>
      <c r="B75" s="785" t="s">
        <v>260</v>
      </c>
      <c r="C75" s="1478" t="s">
        <v>270</v>
      </c>
      <c r="D75" s="950"/>
      <c r="E75" s="950"/>
      <c r="F75" s="951"/>
      <c r="G75" s="951"/>
      <c r="H75" s="1527" t="str">
        <f>IF(ISBLANK(Worksheet!G112),"No judgment for past support is entered.",SUBSTITUTE(Obligee,"the obligee","_____")&amp;" is also granted judgment against "&amp;SUBSTITUTE(Obligor,"the obligor","_____")&amp;" in the amount of")</f>
        <v>No judgment for past support is entered.</v>
      </c>
      <c r="I75" s="1528"/>
      <c r="J75" s="1528"/>
      <c r="K75" s="1528"/>
      <c r="L75" s="1528"/>
      <c r="M75" s="1528"/>
      <c r="N75" s="1528"/>
      <c r="O75" s="1528"/>
      <c r="P75" s="1528"/>
      <c r="Q75" s="1528"/>
      <c r="R75" s="1528"/>
      <c r="S75" s="1528"/>
      <c r="T75" s="1528"/>
      <c r="U75" s="590"/>
    </row>
    <row r="76" spans="1:21" ht="12.75" customHeight="1" x14ac:dyDescent="0.25">
      <c r="A76" s="613"/>
      <c r="B76" s="785"/>
      <c r="C76" s="1519" t="str">
        <f>IF(NOT(ISBLANK(Worksheet!G112)),Worksheet!M112,"")</f>
        <v/>
      </c>
      <c r="D76" s="1519"/>
      <c r="E76" s="1599"/>
      <c r="F76" s="950" t="str">
        <f>IF(ISBLANK(Worksheet!G112),"","as and for past care and support.  "&amp;SUBSTITUTE(Obligor,"the obligor","_____")&amp;" shall pay the additional amount of ")</f>
        <v/>
      </c>
      <c r="G76" s="951"/>
      <c r="H76" s="951"/>
      <c r="I76" s="951"/>
      <c r="J76" s="951"/>
      <c r="K76" s="951"/>
      <c r="L76" s="951"/>
      <c r="M76" s="865"/>
      <c r="N76" s="865"/>
      <c r="O76" s="865"/>
      <c r="P76" s="865"/>
      <c r="Q76" s="865"/>
      <c r="R76" s="865"/>
      <c r="S76" s="865"/>
      <c r="T76" s="865"/>
      <c r="U76" s="590"/>
    </row>
    <row r="77" spans="1:21" x14ac:dyDescent="0.25">
      <c r="A77" s="613"/>
      <c r="B77" s="785"/>
      <c r="C77" s="1529" t="str">
        <f>IF(AND(NOT(ISBLANK(Worksheet!G112)),NOT(ISBLANK(Worksheet!R126))),Worksheet!R126,"")</f>
        <v/>
      </c>
      <c r="D77" s="1529"/>
      <c r="E77" s="1529"/>
      <c r="F77" s="1624" t="str">
        <f>IF(NOT(ISBLANK(Worksheet!G112)),"per month towards this judgment, payable on the 1st day of each month commencing","")</f>
        <v/>
      </c>
      <c r="G77" s="865"/>
      <c r="H77" s="865"/>
      <c r="I77" s="865"/>
      <c r="J77" s="865"/>
      <c r="K77" s="865"/>
      <c r="L77" s="865"/>
      <c r="M77" s="865"/>
      <c r="N77" s="865"/>
      <c r="O77" s="865"/>
      <c r="P77" s="865"/>
      <c r="Q77" s="865"/>
      <c r="R77" s="865"/>
      <c r="S77" s="865"/>
      <c r="T77" s="865"/>
      <c r="U77" s="590"/>
    </row>
    <row r="78" spans="1:21" s="185" customFormat="1" x14ac:dyDescent="0.25">
      <c r="A78" s="613"/>
      <c r="B78" s="785"/>
      <c r="C78" s="1600" t="str">
        <f ca="1">IF(AND(NOT(ISBLANK(Worksheet!G112)),NOT(ISBLANK(Worksheet!N135))),Worksheet!N135,"")</f>
        <v/>
      </c>
      <c r="D78" s="1625"/>
      <c r="E78" s="1625"/>
      <c r="F78" s="1625"/>
      <c r="G78" s="951" t="str">
        <f>IF(NOT(ISBLANK(Worksheet!G112)),"until paid in full.","")</f>
        <v/>
      </c>
      <c r="H78" s="951"/>
      <c r="I78" s="951"/>
      <c r="J78" s="951"/>
      <c r="K78" s="951"/>
      <c r="L78" s="865"/>
      <c r="M78" s="865"/>
      <c r="N78" s="865"/>
      <c r="O78" s="865"/>
      <c r="P78" s="865"/>
      <c r="Q78" s="865"/>
      <c r="R78" s="865"/>
      <c r="S78" s="865"/>
      <c r="T78" s="865"/>
      <c r="U78" s="590"/>
    </row>
    <row r="79" spans="1:21" x14ac:dyDescent="0.25">
      <c r="A79" s="613"/>
      <c r="B79" s="785"/>
      <c r="C79" s="798"/>
      <c r="D79" s="701"/>
      <c r="E79" s="701"/>
      <c r="F79" s="701"/>
      <c r="G79" s="590"/>
      <c r="H79" s="590"/>
      <c r="I79" s="590"/>
      <c r="J79" s="590"/>
      <c r="K79" s="590"/>
      <c r="L79" s="590"/>
      <c r="M79" s="590"/>
      <c r="N79" s="662"/>
      <c r="O79" s="662"/>
      <c r="P79" s="662"/>
      <c r="Q79" s="662"/>
      <c r="R79" s="662"/>
      <c r="S79" s="662"/>
      <c r="T79" s="662"/>
      <c r="U79" s="590"/>
    </row>
    <row r="80" spans="1:21" x14ac:dyDescent="0.25">
      <c r="A80" s="613"/>
      <c r="B80" s="785" t="s">
        <v>262</v>
      </c>
      <c r="C80" s="1478" t="s">
        <v>269</v>
      </c>
      <c r="D80" s="1452"/>
      <c r="E80" s="1452"/>
      <c r="F80" s="1452"/>
      <c r="G80" s="1537" t="str">
        <f>IF(ISBLANK(Worksheet!G106),"  No additional judgment for child support arrears is entered.","  "&amp;SUBSTITUTE(Obligee,"the obligee","_____")&amp;" is granted judgment against "&amp;SUBSTITUTE(Obligor,"the obligor","_____")&amp;" in the amount of")</f>
        <v xml:space="preserve">  No additional judgment for child support arrears is entered.</v>
      </c>
      <c r="H80" s="1537"/>
      <c r="I80" s="1537"/>
      <c r="J80" s="1537"/>
      <c r="K80" s="1537"/>
      <c r="L80" s="1537"/>
      <c r="M80" s="1537"/>
      <c r="N80" s="1537"/>
      <c r="O80" s="1537"/>
      <c r="P80" s="1537"/>
      <c r="Q80" s="1537"/>
      <c r="R80" s="1537"/>
      <c r="S80" s="590"/>
      <c r="T80" s="662"/>
      <c r="U80" s="590"/>
    </row>
    <row r="81" spans="1:21" x14ac:dyDescent="0.25">
      <c r="A81" s="613"/>
      <c r="B81" s="785"/>
      <c r="C81" s="1563" t="str">
        <f>IF(ISNUMBER(R55),R55,"")</f>
        <v/>
      </c>
      <c r="D81" s="1564"/>
      <c r="E81" s="1564"/>
      <c r="F81" s="1400" t="str">
        <f>IF(NOT(ISBLANK(Worksheet!G106)),"as and for child support arrearages from","")</f>
        <v/>
      </c>
      <c r="G81" s="1452"/>
      <c r="H81" s="1452"/>
      <c r="I81" s="1452"/>
      <c r="J81" s="1452"/>
      <c r="K81" s="1452"/>
      <c r="L81" s="1452"/>
      <c r="M81" s="1565" t="str">
        <f>IF(NOT(ISNUMBER(G56)),"",G56)</f>
        <v/>
      </c>
      <c r="N81" s="1565"/>
      <c r="O81" s="1565"/>
      <c r="P81" s="1566"/>
      <c r="Q81" s="1537" t="str">
        <f>IF(NOT(ISBLANK(Worksheet!G106))," through","")</f>
        <v/>
      </c>
      <c r="R81" s="1481"/>
      <c r="S81" s="590"/>
      <c r="T81" s="593"/>
      <c r="U81" s="590"/>
    </row>
    <row r="82" spans="1:21" ht="12.75" customHeight="1" x14ac:dyDescent="0.25">
      <c r="A82" s="613"/>
      <c r="B82" s="785"/>
      <c r="C82" s="1530" t="str">
        <f>IF(NOT(ISNUMBER(M56)),"",M56)</f>
        <v/>
      </c>
      <c r="D82" s="1530"/>
      <c r="E82" s="1530"/>
      <c r="F82" s="1414"/>
      <c r="G82" s="1537" t="str">
        <f>IF(AND(NOT(ISBLANK(Worksheet!G106)),NOT(ISBLANK(Worksheet!M108))),"together with interest on said sum at the legal rate of 10% per annum until paid in full plus additional ",IF(NOT(ISBLANK(Worksheet!G106)),"together with interest at the legal rate of 10% per annum until paid in full.",""))</f>
        <v/>
      </c>
      <c r="H82" s="1537"/>
      <c r="I82" s="1537"/>
      <c r="J82" s="1537"/>
      <c r="K82" s="1537"/>
      <c r="L82" s="1537"/>
      <c r="M82" s="1537"/>
      <c r="N82" s="1537"/>
      <c r="O82" s="1537"/>
      <c r="P82" s="1537"/>
      <c r="Q82" s="1537"/>
      <c r="R82" s="1537"/>
      <c r="S82" s="1537"/>
      <c r="T82" s="613"/>
      <c r="U82" s="590"/>
    </row>
    <row r="83" spans="1:21" s="234" customFormat="1" ht="12.75" customHeight="1" x14ac:dyDescent="0.25">
      <c r="A83" s="613"/>
      <c r="B83" s="785"/>
      <c r="C83" s="1400" t="str">
        <f>IF(AND(NOT(ISBLANK(Worksheet!G106)),NOT(ISBLANK(Worksheet!M108))),"accrued interest on prior child support orders of  ","")</f>
        <v/>
      </c>
      <c r="D83" s="951"/>
      <c r="E83" s="951"/>
      <c r="F83" s="951"/>
      <c r="G83" s="951"/>
      <c r="H83" s="951"/>
      <c r="I83" s="951"/>
      <c r="J83" s="951"/>
      <c r="K83" s="1529" t="str">
        <f>IF(AND(NOT(ISBLANK(Worksheet!G106)),NOT(ISBLANK(Worksheet!M108)),ISBLANK(Worksheet!U108)),TEXT(Worksheet!M108,"$  #,##0.00."),IF(AND(NOT(ISBLANK(Worksheet!G106)),NOT(ISBLANK(Worksheet!M108))),Worksheet!M108,""))</f>
        <v/>
      </c>
      <c r="L83" s="1597"/>
      <c r="M83" s="1597"/>
      <c r="N83" s="951" t="str">
        <f>IF(AND(NOT(ISBLANK(Worksheet!G106)),NOT(ISBLANK(Worksheet!M108)),ISNUMBER(Worksheet!U108)),"calculated through","")</f>
        <v/>
      </c>
      <c r="O83" s="951"/>
      <c r="P83" s="951"/>
      <c r="Q83" s="1598" t="str">
        <f>IF(AND(NOT(ISBLANK(Worksheet!G106)),NOT(ISBLANK(Worksheet!M108)),ISNUMBER(Worksheet!U108)),Worksheet!U108,"")</f>
        <v/>
      </c>
      <c r="R83" s="1598"/>
      <c r="S83" s="1598"/>
      <c r="T83" s="1598"/>
      <c r="U83" s="228"/>
    </row>
    <row r="84" spans="1:21" x14ac:dyDescent="0.25">
      <c r="A84" s="613"/>
      <c r="B84" s="678"/>
      <c r="C84" s="678"/>
      <c r="D84" s="662"/>
      <c r="E84" s="662"/>
      <c r="F84" s="662"/>
      <c r="G84" s="662"/>
      <c r="H84" s="662"/>
      <c r="I84" s="662"/>
      <c r="J84" s="593"/>
      <c r="K84" s="593"/>
      <c r="L84" s="593"/>
      <c r="M84" s="593"/>
      <c r="N84" s="590"/>
      <c r="O84" s="590"/>
      <c r="P84" s="590"/>
      <c r="Q84" s="593"/>
      <c r="R84" s="593"/>
      <c r="S84" s="593"/>
      <c r="T84" s="662"/>
      <c r="U84" s="590"/>
    </row>
    <row r="85" spans="1:21" ht="12.75" customHeight="1" x14ac:dyDescent="0.25">
      <c r="A85" s="613"/>
      <c r="B85" s="678" t="s">
        <v>288</v>
      </c>
      <c r="C85" s="1478" t="s">
        <v>318</v>
      </c>
      <c r="D85" s="1452"/>
      <c r="E85" s="1452"/>
      <c r="F85" s="1452"/>
      <c r="G85" s="1537" t="str">
        <f>IF(AND(NOT(ISBLANK(Worksheet!G119)),Worksheet!T119="x"),"Parent B is granted judgment against Parent A in the amount of",IF(AND(NOT(ISBLANK(Worksheet!G119)),NOT(ISBLANK(Worksheet!X119))),"Parent A is granted judgment against Parent B in the amount of","No judgment for paternity expenses is entered."))</f>
        <v>No judgment for paternity expenses is entered.</v>
      </c>
      <c r="H85" s="1537"/>
      <c r="I85" s="1537"/>
      <c r="J85" s="1537"/>
      <c r="K85" s="1537"/>
      <c r="L85" s="1537"/>
      <c r="M85" s="1537"/>
      <c r="N85" s="1537"/>
      <c r="O85" s="1537"/>
      <c r="P85" s="1537"/>
      <c r="Q85" s="1537"/>
      <c r="R85" s="1531" t="str">
        <f>IF(NOT(ISBLANK(Worksheet!G119)),Worksheet!M119,"")</f>
        <v/>
      </c>
      <c r="S85" s="1532"/>
      <c r="T85" s="1532"/>
      <c r="U85" s="590"/>
    </row>
    <row r="86" spans="1:21" ht="42.75" customHeight="1" x14ac:dyDescent="0.25">
      <c r="A86" s="613"/>
      <c r="B86" s="678"/>
      <c r="C86" s="1407" t="str">
        <f>IF(OR(ISBLANK(Worksheet!G119),AND(ISBLANK(Worksheet!T119),ISBLANK(Worksheet!X119))),"","as and for actual costs of the pregnancy, childbirth, genetic testing and other related costs, together with interest at the legal rate of 10% per annum until paid in full."&amp;IF(ISBLANK(Worksheet!T120),"",IF(Worksheet!T119="x","Parent A","Parent B")&amp;" shall pay this judgement in payments of "&amp;TEXT(Worksheet!T120,"$ 0.00")&amp;" per month directly to "&amp;IF(Worksheet!T119="x","Parent B","Parent A")&amp;" and not by wage assignment."))</f>
        <v/>
      </c>
      <c r="D86" s="1411"/>
      <c r="E86" s="1411"/>
      <c r="F86" s="1411"/>
      <c r="G86" s="1411"/>
      <c r="H86" s="1411"/>
      <c r="I86" s="1411"/>
      <c r="J86" s="1411"/>
      <c r="K86" s="1411"/>
      <c r="L86" s="1411"/>
      <c r="M86" s="1411"/>
      <c r="N86" s="1411"/>
      <c r="O86" s="1411"/>
      <c r="P86" s="1411"/>
      <c r="Q86" s="1411"/>
      <c r="R86" s="1411"/>
      <c r="S86" s="1411"/>
      <c r="T86" s="1411"/>
      <c r="U86" s="228"/>
    </row>
    <row r="87" spans="1:21" ht="14.25" customHeight="1" x14ac:dyDescent="0.25">
      <c r="A87" s="194"/>
      <c r="B87" s="403"/>
      <c r="C87" s="676"/>
      <c r="D87" s="661"/>
      <c r="E87" s="661"/>
      <c r="F87" s="661"/>
      <c r="G87" s="661"/>
      <c r="H87" s="661"/>
      <c r="I87" s="661"/>
      <c r="J87" s="661"/>
      <c r="K87" s="661"/>
      <c r="L87" s="661"/>
      <c r="M87" s="661"/>
      <c r="N87" s="661"/>
      <c r="O87" s="1307" t="s">
        <v>247</v>
      </c>
      <c r="P87" s="950"/>
      <c r="Q87" s="1518" t="str">
        <f>CaseNumber</f>
        <v/>
      </c>
      <c r="R87" s="1414"/>
      <c r="S87" s="1414"/>
      <c r="T87" s="1414"/>
      <c r="U87" s="590"/>
    </row>
    <row r="88" spans="1:21" ht="12.75" customHeight="1" x14ac:dyDescent="0.25">
      <c r="A88" s="613"/>
      <c r="B88" s="678"/>
      <c r="C88" s="662"/>
      <c r="D88" s="674"/>
      <c r="E88" s="674"/>
      <c r="F88" s="674"/>
      <c r="G88" s="674"/>
      <c r="H88" s="674"/>
      <c r="I88" s="674"/>
      <c r="J88" s="674"/>
      <c r="K88" s="681"/>
      <c r="L88" s="680"/>
      <c r="M88" s="680"/>
      <c r="N88" s="680"/>
      <c r="O88" s="680"/>
      <c r="P88" s="680"/>
      <c r="Q88" s="590"/>
      <c r="R88" s="590"/>
      <c r="S88" s="590"/>
      <c r="T88" s="680"/>
      <c r="U88" s="590"/>
    </row>
    <row r="89" spans="1:21" ht="12.75" customHeight="1" x14ac:dyDescent="0.25">
      <c r="A89" s="613"/>
      <c r="B89" s="678" t="s">
        <v>290</v>
      </c>
      <c r="C89" s="1535" t="s">
        <v>271</v>
      </c>
      <c r="D89" s="1452"/>
      <c r="E89" s="1452"/>
      <c r="F89" s="1452"/>
      <c r="G89" s="951"/>
      <c r="H89" s="1623" t="str">
        <f>Obligor&amp;" shall make total monthly payments to "&amp;Obligee&amp;" of"</f>
        <v>the obligor shall make total monthly payments to the obligee of</v>
      </c>
      <c r="I89" s="1623"/>
      <c r="J89" s="1623"/>
      <c r="K89" s="1623"/>
      <c r="L89" s="1623"/>
      <c r="M89" s="1623"/>
      <c r="N89" s="1623"/>
      <c r="O89" s="1623"/>
      <c r="P89" s="1623"/>
      <c r="Q89" s="1623"/>
      <c r="R89" s="1519" t="str">
        <f>IF(ISNUMBER(N99),N99,"")</f>
        <v/>
      </c>
      <c r="S89" s="1519"/>
      <c r="T89" s="1519"/>
      <c r="U89" s="662"/>
    </row>
    <row r="90" spans="1:21" ht="12.75" customHeight="1" x14ac:dyDescent="0.25">
      <c r="A90" s="613"/>
      <c r="B90" s="678"/>
      <c r="C90" s="1536" t="s">
        <v>323</v>
      </c>
      <c r="D90" s="1452"/>
      <c r="E90" s="1452"/>
      <c r="F90" s="1452"/>
      <c r="G90" s="1452"/>
      <c r="H90" s="1452"/>
      <c r="I90" s="1452"/>
      <c r="J90" s="951"/>
      <c r="K90" s="951"/>
      <c r="L90" s="951"/>
      <c r="M90" s="951"/>
      <c r="N90" s="1552" t="str">
        <f>IF(OR(Obligor="Parent A",Obligor="Parent B"),Worksheet!N135,"")</f>
        <v/>
      </c>
      <c r="O90" s="1552"/>
      <c r="P90" s="1552"/>
      <c r="Q90" s="1552"/>
      <c r="R90" s="1400" t="s">
        <v>324</v>
      </c>
      <c r="S90" s="1542"/>
      <c r="T90" s="1542"/>
      <c r="U90" s="590"/>
    </row>
    <row r="91" spans="1:21" ht="12.75" customHeight="1" x14ac:dyDescent="0.25">
      <c r="A91" s="613"/>
      <c r="B91" s="678"/>
      <c r="C91" s="678"/>
      <c r="D91" s="662"/>
      <c r="E91" s="662"/>
      <c r="F91" s="662"/>
      <c r="G91" s="662"/>
      <c r="H91" s="662"/>
      <c r="I91" s="662"/>
      <c r="J91" s="662"/>
      <c r="K91" s="662"/>
      <c r="L91" s="662"/>
      <c r="M91" s="662"/>
      <c r="N91" s="662"/>
      <c r="O91" s="662"/>
      <c r="P91" s="662"/>
      <c r="Q91" s="662"/>
      <c r="R91" s="662"/>
      <c r="S91" s="662"/>
      <c r="T91" s="662"/>
      <c r="U91" s="590"/>
    </row>
    <row r="92" spans="1:21" ht="12.75" customHeight="1" x14ac:dyDescent="0.25">
      <c r="A92" s="613"/>
      <c r="B92" s="678"/>
      <c r="C92" s="678"/>
      <c r="D92" s="1478" t="s">
        <v>275</v>
      </c>
      <c r="E92" s="1542"/>
      <c r="F92" s="1542"/>
      <c r="G92" s="1542"/>
      <c r="H92" s="1542"/>
      <c r="I92" s="1542"/>
      <c r="J92" s="1542"/>
      <c r="K92" s="1542"/>
      <c r="L92" s="1542"/>
      <c r="M92" s="1542"/>
      <c r="N92" s="1541" t="str">
        <f>IF(NOT(ISBLANK(P72)),P72,"0.00")</f>
        <v/>
      </c>
      <c r="O92" s="1541"/>
      <c r="P92" s="1541"/>
      <c r="Q92" s="662"/>
      <c r="R92" s="662"/>
      <c r="S92" s="662"/>
      <c r="T92" s="662"/>
      <c r="U92" s="590"/>
    </row>
    <row r="93" spans="1:21" s="182" customFormat="1" ht="12.75" customHeight="1" x14ac:dyDescent="0.25">
      <c r="A93" s="613"/>
      <c r="B93" s="678"/>
      <c r="C93" s="678"/>
      <c r="D93" s="1478" t="s">
        <v>276</v>
      </c>
      <c r="E93" s="1542"/>
      <c r="F93" s="1542"/>
      <c r="G93" s="1542"/>
      <c r="H93" s="1542"/>
      <c r="I93" s="1542"/>
      <c r="J93" s="1542"/>
      <c r="K93" s="1542"/>
      <c r="L93" s="1542"/>
      <c r="M93" s="1542"/>
      <c r="N93" s="1534" t="str">
        <f>IF(OR(ISNUMBER(Worksheet!R125),ISNUMBER(Worksheet!R126)),Worksheet!R125+Worksheet!R126,"")</f>
        <v/>
      </c>
      <c r="O93" s="1534"/>
      <c r="P93" s="1534"/>
      <c r="Q93" s="662"/>
      <c r="R93" s="662"/>
      <c r="S93" s="662"/>
      <c r="T93" s="662"/>
      <c r="U93" s="590"/>
    </row>
    <row r="94" spans="1:21" ht="12.75" customHeight="1" x14ac:dyDescent="0.25">
      <c r="A94" s="613"/>
      <c r="B94" s="678"/>
      <c r="C94" s="678"/>
      <c r="D94" s="1478" t="s">
        <v>325</v>
      </c>
      <c r="E94" s="951"/>
      <c r="F94" s="951"/>
      <c r="G94" s="951"/>
      <c r="H94" s="951"/>
      <c r="I94" s="951"/>
      <c r="J94" s="951"/>
      <c r="K94" s="951"/>
      <c r="L94" s="951"/>
      <c r="M94" s="951"/>
      <c r="N94" s="1534" t="str">
        <f>IF(ISBLANK(Worksheet!T120),"",IF(OR(AND(NOT(ISBLANK(Worksheet!T119)),Obligor="Parent A"),AND(NOT(ISBLANK(Worksheet!X119)),Obligor="Parent B")),Worksheet!T120,IF(OR(AND(NOT(ISBLANK(Worksheet!T119)),Obligor="Parent B"),AND(NOT(ISBLANK(Worksheet!X119)),Obligor="Parent A")),Worksheet!T120*(-1),"")))</f>
        <v/>
      </c>
      <c r="O94" s="1534"/>
      <c r="P94" s="1534"/>
      <c r="Q94" s="662"/>
      <c r="R94" s="662"/>
      <c r="S94" s="662"/>
      <c r="T94" s="662"/>
      <c r="U94" s="590"/>
    </row>
    <row r="95" spans="1:21" ht="12.75" customHeight="1" x14ac:dyDescent="0.25">
      <c r="A95" s="613"/>
      <c r="B95" s="678"/>
      <c r="C95" s="678"/>
      <c r="D95" s="1478" t="s">
        <v>277</v>
      </c>
      <c r="E95" s="1542"/>
      <c r="F95" s="1542"/>
      <c r="G95" s="1542"/>
      <c r="H95" s="1542"/>
      <c r="I95" s="1542"/>
      <c r="J95" s="1542"/>
      <c r="K95" s="1542"/>
      <c r="L95" s="1542"/>
      <c r="M95" s="1542"/>
      <c r="N95" s="1534" t="str">
        <f>IF(NOT(ISBLANK(Worksheet!R128)),Worksheet!R128,"")</f>
        <v/>
      </c>
      <c r="O95" s="1534"/>
      <c r="P95" s="1534"/>
      <c r="Q95" s="662"/>
      <c r="R95" s="662"/>
      <c r="S95" s="662"/>
      <c r="T95" s="662"/>
      <c r="U95" s="590"/>
    </row>
    <row r="96" spans="1:21" ht="12.75" customHeight="1" x14ac:dyDescent="0.25">
      <c r="A96" s="613"/>
      <c r="B96" s="678"/>
      <c r="C96" s="678"/>
      <c r="D96" s="1478" t="s">
        <v>278</v>
      </c>
      <c r="E96" s="1542"/>
      <c r="F96" s="1542"/>
      <c r="G96" s="1542"/>
      <c r="H96" s="1542"/>
      <c r="I96" s="1542"/>
      <c r="J96" s="1542"/>
      <c r="K96" s="1542"/>
      <c r="L96" s="1542"/>
      <c r="M96" s="1542"/>
      <c r="N96" s="1534" t="str">
        <f>IF(NOT(ISBLANK(Worksheet!R129)),Worksheet!R129,"")</f>
        <v/>
      </c>
      <c r="O96" s="1534"/>
      <c r="P96" s="1534"/>
      <c r="Q96" s="662"/>
      <c r="R96" s="662"/>
      <c r="S96" s="662"/>
      <c r="T96" s="662"/>
      <c r="U96" s="590"/>
    </row>
    <row r="97" spans="1:21" s="294" customFormat="1" ht="12.75" customHeight="1" x14ac:dyDescent="0.25">
      <c r="A97" s="613"/>
      <c r="B97" s="678"/>
      <c r="C97" s="678"/>
      <c r="D97" s="1478" t="s">
        <v>326</v>
      </c>
      <c r="E97" s="1542"/>
      <c r="F97" s="1542"/>
      <c r="G97" s="1542"/>
      <c r="H97" s="1542"/>
      <c r="I97" s="1542"/>
      <c r="J97" s="1542"/>
      <c r="K97" s="1542"/>
      <c r="L97" s="1542"/>
      <c r="M97" s="1542"/>
      <c r="N97" s="1534">
        <f>IF(NOT(ISBLANK(Worksheet!R130)),Worksheet!R130,"")</f>
        <v>0</v>
      </c>
      <c r="O97" s="1534"/>
      <c r="P97" s="1534"/>
      <c r="Q97" s="662"/>
      <c r="R97" s="662"/>
      <c r="S97" s="662"/>
      <c r="T97" s="662"/>
      <c r="U97" s="590"/>
    </row>
    <row r="98" spans="1:21" ht="12.75" customHeight="1" x14ac:dyDescent="0.25">
      <c r="A98" s="613"/>
      <c r="B98" s="678"/>
      <c r="C98" s="678"/>
      <c r="D98" s="1478" t="s">
        <v>279</v>
      </c>
      <c r="E98" s="1542"/>
      <c r="F98" s="1542"/>
      <c r="G98" s="1542"/>
      <c r="H98" s="1542"/>
      <c r="I98" s="1542"/>
      <c r="J98" s="1542"/>
      <c r="K98" s="1542"/>
      <c r="L98" s="1542"/>
      <c r="M98" s="1542"/>
      <c r="N98" s="1533">
        <f>County!$D$34</f>
        <v>8</v>
      </c>
      <c r="O98" s="1534"/>
      <c r="P98" s="1534"/>
      <c r="Q98" s="662"/>
      <c r="R98" s="662"/>
      <c r="S98" s="662"/>
      <c r="T98" s="662"/>
      <c r="U98" s="590"/>
    </row>
    <row r="99" spans="1:21" ht="12.75" customHeight="1" thickBot="1" x14ac:dyDescent="0.3">
      <c r="A99" s="613"/>
      <c r="B99" s="678"/>
      <c r="C99" s="678"/>
      <c r="D99" s="677"/>
      <c r="E99" s="1478" t="s">
        <v>280</v>
      </c>
      <c r="F99" s="1542"/>
      <c r="G99" s="1542"/>
      <c r="H99" s="1542"/>
      <c r="I99" s="1542"/>
      <c r="J99" s="1542"/>
      <c r="K99" s="1542"/>
      <c r="L99" s="1542"/>
      <c r="M99" s="1542"/>
      <c r="N99" s="1567" t="str">
        <f>IF(SUM(N92:N98)=N98,"",SUM(N92:N98))</f>
        <v/>
      </c>
      <c r="O99" s="1567"/>
      <c r="P99" s="1567"/>
      <c r="Q99" s="662"/>
      <c r="R99" s="662"/>
      <c r="S99" s="662"/>
      <c r="T99" s="662"/>
      <c r="U99" s="590"/>
    </row>
    <row r="100" spans="1:21" s="294" customFormat="1" ht="12.75" customHeight="1" thickTop="1" thickBot="1" x14ac:dyDescent="0.3">
      <c r="A100" s="613"/>
      <c r="B100" s="678"/>
      <c r="C100" s="678"/>
      <c r="D100" s="677"/>
      <c r="E100" s="1478" t="s">
        <v>327</v>
      </c>
      <c r="F100" s="1542"/>
      <c r="G100" s="1542"/>
      <c r="H100" s="1542"/>
      <c r="I100" s="1542"/>
      <c r="J100" s="1542"/>
      <c r="K100" s="1542"/>
      <c r="L100" s="1542"/>
      <c r="M100" s="1542"/>
      <c r="N100" s="1567" t="str">
        <f>IF(ISNUMBER(N94),N99-N94,N99)</f>
        <v/>
      </c>
      <c r="O100" s="1567"/>
      <c r="P100" s="1567"/>
      <c r="Q100" s="662"/>
      <c r="R100" s="662"/>
      <c r="S100" s="662"/>
      <c r="T100" s="662"/>
      <c r="U100" s="590"/>
    </row>
    <row r="101" spans="1:21" ht="13.8" thickTop="1" x14ac:dyDescent="0.25">
      <c r="A101" s="613"/>
      <c r="B101" s="678"/>
      <c r="C101" s="678"/>
      <c r="D101" s="662"/>
      <c r="E101" s="662"/>
      <c r="F101" s="662"/>
      <c r="G101" s="662"/>
      <c r="H101" s="662"/>
      <c r="I101" s="662"/>
      <c r="J101" s="662"/>
      <c r="K101" s="662"/>
      <c r="L101" s="662"/>
      <c r="M101" s="662"/>
      <c r="N101" s="662"/>
      <c r="O101" s="662"/>
      <c r="P101" s="662"/>
      <c r="Q101" s="662"/>
      <c r="R101" s="662"/>
      <c r="S101" s="662"/>
      <c r="T101" s="662"/>
      <c r="U101" s="590"/>
    </row>
    <row r="102" spans="1:21" ht="12.75" customHeight="1" x14ac:dyDescent="0.25">
      <c r="A102" s="613"/>
      <c r="B102" s="678" t="s">
        <v>293</v>
      </c>
      <c r="C102" s="1406" t="s">
        <v>328</v>
      </c>
      <c r="D102" s="1498"/>
      <c r="E102" s="1498"/>
      <c r="F102" s="1498"/>
      <c r="G102" s="1498"/>
      <c r="H102" s="1498"/>
      <c r="I102" s="1498"/>
      <c r="J102" s="1498"/>
      <c r="K102" s="1498"/>
      <c r="L102" s="1498"/>
      <c r="M102" s="1498"/>
      <c r="N102" s="1498"/>
      <c r="O102" s="1498"/>
      <c r="P102" s="1498"/>
      <c r="Q102" s="1498"/>
      <c r="R102" s="1498"/>
      <c r="S102" s="1498"/>
      <c r="T102" s="1498"/>
      <c r="U102" s="590"/>
    </row>
    <row r="103" spans="1:21" s="185" customFormat="1" ht="25.5" customHeight="1" x14ac:dyDescent="0.25">
      <c r="A103" s="613"/>
      <c r="B103" s="678"/>
      <c r="C103" s="1407" t="str">
        <f>IF(ISNUMBER(N94),"an Order of Assignment signed this date, except payments on a Paternity Expenses Judgment paid directly.  Any time the full amount of support ordered is not withheld, Obligor remains responsible for the full","an Order of Assignment signed this date.  Any time the full amount of support ordered is not withheld, Obligor remains responsible for the full monthly amount ordered.  Payments not made directly through the")</f>
        <v>an Order of Assignment signed this date.  Any time the full amount of support ordered is not withheld, Obligor remains responsible for the full monthly amount ordered.  Payments not made directly through the</v>
      </c>
      <c r="D103" s="1551"/>
      <c r="E103" s="1551"/>
      <c r="F103" s="1551"/>
      <c r="G103" s="1551"/>
      <c r="H103" s="1551"/>
      <c r="I103" s="1551"/>
      <c r="J103" s="1551"/>
      <c r="K103" s="1551"/>
      <c r="L103" s="1551"/>
      <c r="M103" s="1551"/>
      <c r="N103" s="1551"/>
      <c r="O103" s="1551"/>
      <c r="P103" s="1551"/>
      <c r="Q103" s="1551"/>
      <c r="R103" s="1551"/>
      <c r="S103" s="1551"/>
      <c r="T103" s="1551"/>
      <c r="U103" s="228"/>
    </row>
    <row r="104" spans="1:21" s="185" customFormat="1" ht="30" customHeight="1" x14ac:dyDescent="0.25">
      <c r="A104" s="613"/>
      <c r="B104" s="678"/>
      <c r="C104" s="1407" t="str">
        <f>IF(ISNUMBER(N94),"monthly amount ordered.  Payments not made directly through the Support Payment Clearinghouse shall be considered gifts unless otherwise ordered.  All payments shall be made payable to and mailed directly to:","Support Payment Clearinghouse shall be considered gifts unless otherwise ordered.  All payments shall be made payable to and mailed directly to:")</f>
        <v>Support Payment Clearinghouse shall be considered gifts unless otherwise ordered.  All payments shall be made payable to and mailed directly to:</v>
      </c>
      <c r="D104" s="1551"/>
      <c r="E104" s="1551"/>
      <c r="F104" s="1551"/>
      <c r="G104" s="1551"/>
      <c r="H104" s="1551"/>
      <c r="I104" s="1551"/>
      <c r="J104" s="1551"/>
      <c r="K104" s="1551"/>
      <c r="L104" s="1551"/>
      <c r="M104" s="1551"/>
      <c r="N104" s="1551"/>
      <c r="O104" s="1551"/>
      <c r="P104" s="1551"/>
      <c r="Q104" s="1551"/>
      <c r="R104" s="1551"/>
      <c r="S104" s="1551"/>
      <c r="T104" s="1551"/>
      <c r="U104" s="590"/>
    </row>
    <row r="105" spans="1:21" x14ac:dyDescent="0.25">
      <c r="A105" s="613"/>
      <c r="B105" s="678"/>
      <c r="C105" s="678"/>
      <c r="D105" s="662"/>
      <c r="E105" s="662"/>
      <c r="F105" s="662"/>
      <c r="G105" s="662"/>
      <c r="H105" s="1478" t="s">
        <v>283</v>
      </c>
      <c r="I105" s="1478"/>
      <c r="J105" s="1478"/>
      <c r="K105" s="1478"/>
      <c r="L105" s="1478"/>
      <c r="M105" s="1478"/>
      <c r="N105" s="1400"/>
      <c r="O105" s="662"/>
      <c r="P105" s="662"/>
      <c r="Q105" s="662"/>
      <c r="R105" s="662"/>
      <c r="S105" s="662"/>
      <c r="T105" s="662"/>
      <c r="U105" s="590"/>
    </row>
    <row r="106" spans="1:21" x14ac:dyDescent="0.25">
      <c r="A106" s="613"/>
      <c r="B106" s="678"/>
      <c r="C106" s="678"/>
      <c r="D106" s="662"/>
      <c r="E106" s="662"/>
      <c r="F106" s="662"/>
      <c r="G106" s="662"/>
      <c r="H106" s="1478" t="s">
        <v>284</v>
      </c>
      <c r="I106" s="1478"/>
      <c r="J106" s="1478"/>
      <c r="K106" s="1478"/>
      <c r="L106" s="1478"/>
      <c r="M106" s="1478"/>
      <c r="N106" s="1400"/>
      <c r="O106" s="662"/>
      <c r="P106" s="662"/>
      <c r="Q106" s="662"/>
      <c r="R106" s="662"/>
      <c r="S106" s="662"/>
      <c r="T106" s="662"/>
      <c r="U106" s="590"/>
    </row>
    <row r="107" spans="1:21" x14ac:dyDescent="0.25">
      <c r="A107" s="613"/>
      <c r="B107" s="678"/>
      <c r="C107" s="678"/>
      <c r="D107" s="662"/>
      <c r="E107" s="662"/>
      <c r="F107" s="662"/>
      <c r="G107" s="662"/>
      <c r="H107" s="1478" t="s">
        <v>285</v>
      </c>
      <c r="I107" s="1478"/>
      <c r="J107" s="1478"/>
      <c r="K107" s="1478"/>
      <c r="L107" s="1478"/>
      <c r="M107" s="1478"/>
      <c r="N107" s="1400"/>
      <c r="O107" s="662"/>
      <c r="P107" s="662"/>
      <c r="Q107" s="662"/>
      <c r="R107" s="662"/>
      <c r="S107" s="662"/>
      <c r="T107" s="662"/>
      <c r="U107" s="590"/>
    </row>
    <row r="108" spans="1:21" ht="9" customHeight="1" x14ac:dyDescent="0.25">
      <c r="A108" s="613"/>
      <c r="B108" s="678"/>
      <c r="C108" s="678"/>
      <c r="D108" s="662"/>
      <c r="E108" s="662"/>
      <c r="F108" s="662"/>
      <c r="G108" s="662"/>
      <c r="H108" s="662"/>
      <c r="I108" s="662"/>
      <c r="J108" s="662"/>
      <c r="K108" s="662"/>
      <c r="L108" s="662"/>
      <c r="M108" s="662"/>
      <c r="N108" s="662"/>
      <c r="O108" s="662"/>
      <c r="P108" s="662"/>
      <c r="Q108" s="662"/>
      <c r="R108" s="662"/>
      <c r="S108" s="662"/>
      <c r="T108" s="662"/>
      <c r="U108" s="590"/>
    </row>
    <row r="109" spans="1:21" s="140" customFormat="1" x14ac:dyDescent="0.25">
      <c r="A109" s="613"/>
      <c r="B109" s="678"/>
      <c r="C109" s="1478" t="str">
        <f>"Payments must include "&amp;Obligor&amp;"'s name, ATLAS number, and Social Security Number."</f>
        <v>Payments must include the obligor's name, ATLAS number, and Social Security Number.</v>
      </c>
      <c r="D109" s="1478"/>
      <c r="E109" s="1478"/>
      <c r="F109" s="1478"/>
      <c r="G109" s="1478"/>
      <c r="H109" s="1478"/>
      <c r="I109" s="1478"/>
      <c r="J109" s="1478"/>
      <c r="K109" s="1478"/>
      <c r="L109" s="1478"/>
      <c r="M109" s="1478"/>
      <c r="N109" s="1478"/>
      <c r="O109" s="1478"/>
      <c r="P109" s="1478"/>
      <c r="Q109" s="1478"/>
      <c r="R109" s="1478"/>
      <c r="S109" s="1478"/>
      <c r="T109" s="1478"/>
      <c r="U109" s="590"/>
    </row>
    <row r="110" spans="1:21" s="140" customFormat="1" x14ac:dyDescent="0.25">
      <c r="A110" s="613"/>
      <c r="B110" s="678"/>
      <c r="C110" s="678"/>
      <c r="D110" s="662"/>
      <c r="E110" s="662"/>
      <c r="F110" s="662"/>
      <c r="G110" s="662"/>
      <c r="H110" s="662"/>
      <c r="I110" s="662"/>
      <c r="J110" s="662"/>
      <c r="K110" s="662"/>
      <c r="L110" s="662"/>
      <c r="M110" s="662"/>
      <c r="N110" s="662"/>
      <c r="O110" s="662"/>
      <c r="P110" s="662"/>
      <c r="Q110" s="662"/>
      <c r="R110" s="662"/>
      <c r="S110" s="662"/>
      <c r="T110" s="662"/>
      <c r="U110" s="590"/>
    </row>
    <row r="111" spans="1:21" s="140" customFormat="1" ht="12.75" customHeight="1" x14ac:dyDescent="0.25">
      <c r="A111" s="613"/>
      <c r="B111" s="678" t="s">
        <v>295</v>
      </c>
      <c r="C111" s="1478" t="s">
        <v>329</v>
      </c>
      <c r="D111" s="1542"/>
      <c r="E111" s="1542"/>
      <c r="F111" s="1542"/>
      <c r="G111" s="1542"/>
      <c r="H111" s="1542"/>
      <c r="I111" s="1542"/>
      <c r="J111" s="1542"/>
      <c r="K111" s="1542"/>
      <c r="L111" s="1542"/>
      <c r="M111" s="1542"/>
      <c r="N111" s="1542"/>
      <c r="O111" s="1542"/>
      <c r="P111" s="1542"/>
      <c r="Q111" s="1542"/>
      <c r="R111" s="1542"/>
      <c r="S111" s="1542"/>
      <c r="T111" s="1542"/>
      <c r="U111" s="590"/>
    </row>
    <row r="112" spans="1:21" s="140" customFormat="1" ht="12.75" customHeight="1" x14ac:dyDescent="0.25">
      <c r="A112" s="613"/>
      <c r="B112" s="678"/>
      <c r="C112" s="1400" t="str">
        <f>"the Clerk of the Superior Court and the Support Payment Clearinghouse immediately.  "&amp;PROPER(Obligor)&amp;" shall submit"</f>
        <v>the Clerk of the Superior Court and the Support Payment Clearinghouse immediately.  The Obligor shall submit</v>
      </c>
      <c r="D112" s="1542"/>
      <c r="E112" s="1542"/>
      <c r="F112" s="1542"/>
      <c r="G112" s="1542"/>
      <c r="H112" s="1542"/>
      <c r="I112" s="1542"/>
      <c r="J112" s="1542"/>
      <c r="K112" s="1542"/>
      <c r="L112" s="1542"/>
      <c r="M112" s="1542"/>
      <c r="N112" s="1542"/>
      <c r="O112" s="1542"/>
      <c r="P112" s="1542"/>
      <c r="Q112" s="1542"/>
      <c r="R112" s="1542"/>
      <c r="S112" s="1542"/>
      <c r="T112" s="1542"/>
      <c r="U112" s="590"/>
    </row>
    <row r="113" spans="1:21" s="140" customFormat="1" ht="25.5" customHeight="1" x14ac:dyDescent="0.25">
      <c r="A113" s="613"/>
      <c r="B113" s="678"/>
      <c r="C113" s="1407" t="str">
        <f>"the names and addresses of "&amp;Obligor&amp;"'s employers or other payors within 10 days.  The parties shall submit address changes within 10 days of the change."</f>
        <v>the names and addresses of the obligor's employers or other payors within 10 days.  The parties shall submit address changes within 10 days of the change.</v>
      </c>
      <c r="D113" s="1498"/>
      <c r="E113" s="1498"/>
      <c r="F113" s="1498"/>
      <c r="G113" s="1498"/>
      <c r="H113" s="1498"/>
      <c r="I113" s="1498"/>
      <c r="J113" s="1498"/>
      <c r="K113" s="1498"/>
      <c r="L113" s="1498"/>
      <c r="M113" s="1498"/>
      <c r="N113" s="1498"/>
      <c r="O113" s="1498"/>
      <c r="P113" s="1498"/>
      <c r="Q113" s="1498"/>
      <c r="R113" s="1498"/>
      <c r="S113" s="1498"/>
      <c r="T113" s="1498"/>
      <c r="U113" s="590"/>
    </row>
    <row r="114" spans="1:21" s="140" customFormat="1" x14ac:dyDescent="0.25">
      <c r="A114" s="613"/>
      <c r="B114" s="678"/>
      <c r="C114" s="678"/>
      <c r="D114" s="662"/>
      <c r="E114" s="662"/>
      <c r="F114" s="662"/>
      <c r="G114" s="662"/>
      <c r="H114" s="662"/>
      <c r="I114" s="662"/>
      <c r="J114" s="662"/>
      <c r="K114" s="662"/>
      <c r="L114" s="662"/>
      <c r="M114" s="662"/>
      <c r="N114" s="662"/>
      <c r="O114" s="662"/>
      <c r="P114" s="662"/>
      <c r="Q114" s="662"/>
      <c r="R114" s="662"/>
      <c r="S114" s="662"/>
      <c r="T114" s="662"/>
      <c r="U114" s="590"/>
    </row>
    <row r="115" spans="1:21" s="140" customFormat="1" ht="12.75" customHeight="1" x14ac:dyDescent="0.25">
      <c r="A115" s="613"/>
      <c r="B115" s="678" t="s">
        <v>298</v>
      </c>
      <c r="C115" s="1553" t="s">
        <v>289</v>
      </c>
      <c r="D115" s="1553"/>
      <c r="E115" s="951"/>
      <c r="F115" s="951"/>
      <c r="G115" s="1400" t="str">
        <f>IF(AND(NOT(ISBLANK(Worksheet!$U$65)),NOT(ISBLANK(Worksheet!Y65))),"Both Parent A and Parent B are responsible for providing medical insurance for the ",IF(OR(NOT(ISBLANK(Worksheet!$U$65)),Worksheet!$H$140="x"),"Parent A shall be individually responsible for providing medical insurance for the ",IF(OR(NOT(ISBLANK(Worksheet!$Y$65)),NOT(ISBLANK(Worksheet!$H$141))),"Parent B shall be individually responsible for providing medical insurance for the ","Both Parent A and Parent B are responsible to provide medical insurance for the ")))</f>
        <v xml:space="preserve">Both Parent A and Parent B are responsible to provide medical insurance for the </v>
      </c>
      <c r="H115" s="951"/>
      <c r="I115" s="951"/>
      <c r="J115" s="951"/>
      <c r="K115" s="951"/>
      <c r="L115" s="951"/>
      <c r="M115" s="951"/>
      <c r="N115" s="951"/>
      <c r="O115" s="951"/>
      <c r="P115" s="951"/>
      <c r="Q115" s="951"/>
      <c r="R115" s="951"/>
      <c r="S115" s="951"/>
      <c r="T115" s="951"/>
      <c r="U115" s="590"/>
    </row>
    <row r="116" spans="1:21" s="140" customFormat="1" ht="26.25" customHeight="1" x14ac:dyDescent="0.25">
      <c r="A116" s="613"/>
      <c r="B116" s="678"/>
      <c r="C116" s="1407" t="str">
        <f>IF(AND(Worksheet!$U$47=1,OR(NOT(ISBLANK(Worksheet!$U$65)),NOT(ISBLANK(Worksheet!$Y$65)))),"child, and shall continue to pay premiums for any medical, dental and vision policies covering the child that are currently in existence.",IF(AND(Worksheet!$U$47&gt;1,OR(NOT(ISBLANK(Worksheet!$U$65)),NOT(ISBLANK(Worksheet!$Y$65)))),"children, and shall continue to pay premiums for any medical, dental and vision policies covering the children that are currently in existence.",IF(OR(NOT(ISBLANK(Worksheet!$G$139)),Worksheet!$H$140="x",Worksheet!$H$141="x"),"child(ren) of the parties as soon as it becomes accessible and available at a reasonable cost, as neither parent currently has the ability to obtain such medical insurance.","any minor child of the parties as soon as it becomes accessible and available at a reasonable cost.")))</f>
        <v>child(ren) of the parties as soon as it becomes accessible and available at a reasonable cost, as neither parent currently has the ability to obtain such medical insurance.</v>
      </c>
      <c r="D116" s="1096"/>
      <c r="E116" s="1096"/>
      <c r="F116" s="1096"/>
      <c r="G116" s="1096"/>
      <c r="H116" s="1096"/>
      <c r="I116" s="1096"/>
      <c r="J116" s="1096"/>
      <c r="K116" s="1096"/>
      <c r="L116" s="1096"/>
      <c r="M116" s="1096"/>
      <c r="N116" s="1096"/>
      <c r="O116" s="1096"/>
      <c r="P116" s="1096"/>
      <c r="Q116" s="1096"/>
      <c r="R116" s="1096"/>
      <c r="S116" s="1096"/>
      <c r="T116" s="1096"/>
      <c r="U116" s="590"/>
    </row>
    <row r="117" spans="1:21" s="140" customFormat="1" x14ac:dyDescent="0.25">
      <c r="A117" s="613"/>
      <c r="B117" s="322"/>
      <c r="C117" s="678"/>
      <c r="D117" s="662"/>
      <c r="E117" s="662"/>
      <c r="F117" s="662"/>
      <c r="G117" s="662"/>
      <c r="H117" s="662"/>
      <c r="I117" s="662"/>
      <c r="J117" s="662"/>
      <c r="K117" s="662"/>
      <c r="L117" s="662"/>
      <c r="M117" s="662"/>
      <c r="N117" s="662"/>
      <c r="O117" s="662"/>
      <c r="P117" s="662"/>
      <c r="Q117" s="662"/>
      <c r="R117" s="662"/>
      <c r="S117" s="662"/>
      <c r="T117" s="662"/>
      <c r="U117" s="590"/>
    </row>
    <row r="118" spans="1:21" s="319" customFormat="1" ht="28.5" customHeight="1" x14ac:dyDescent="0.25">
      <c r="A118" s="613"/>
      <c r="B118" s="670" t="s">
        <v>301</v>
      </c>
      <c r="C118" s="1406" t="s">
        <v>330</v>
      </c>
      <c r="D118" s="1411"/>
      <c r="E118" s="1411"/>
      <c r="F118" s="1411"/>
      <c r="G118" s="1411"/>
      <c r="H118" s="1411"/>
      <c r="I118" s="1411"/>
      <c r="J118" s="1411"/>
      <c r="K118" s="1411"/>
      <c r="L118" s="1411"/>
      <c r="M118" s="1411"/>
      <c r="N118" s="1411"/>
      <c r="O118" s="1411"/>
      <c r="P118" s="1411"/>
      <c r="Q118" s="1411"/>
      <c r="R118" s="1411"/>
      <c r="S118" s="1411"/>
      <c r="T118" s="1411"/>
      <c r="U118" s="645"/>
    </row>
    <row r="119" spans="1:21" s="140" customFormat="1" x14ac:dyDescent="0.25">
      <c r="A119" s="613"/>
      <c r="B119" s="678"/>
      <c r="C119" s="678"/>
      <c r="D119" s="662"/>
      <c r="E119" s="1475" t="s">
        <v>49</v>
      </c>
      <c r="F119" s="1452"/>
      <c r="G119" s="1543" t="str">
        <f>IF(ISNUMBER(Worksheet!I143),ROUND(Worksheet!I143,2),"")</f>
        <v/>
      </c>
      <c r="H119" s="1414"/>
      <c r="I119" s="675"/>
      <c r="J119" s="593"/>
      <c r="K119" s="662"/>
      <c r="L119" s="675" t="s">
        <v>50</v>
      </c>
      <c r="M119" s="1543" t="str">
        <f>IF(ISNUMBER(Worksheet!N143),ROUND(Worksheet!N143,2),"")</f>
        <v/>
      </c>
      <c r="N119" s="1414"/>
      <c r="O119" s="675"/>
      <c r="P119" s="593"/>
      <c r="Q119" s="799"/>
      <c r="R119" s="662"/>
      <c r="S119" s="662"/>
      <c r="T119" s="662"/>
      <c r="U119" s="590"/>
    </row>
    <row r="120" spans="1:21" s="140" customFormat="1" x14ac:dyDescent="0.25">
      <c r="A120" s="613"/>
      <c r="B120" s="678"/>
      <c r="C120" s="678"/>
      <c r="D120" s="662"/>
      <c r="E120" s="662"/>
      <c r="F120" s="662"/>
      <c r="G120" s="662"/>
      <c r="H120" s="662"/>
      <c r="I120" s="662"/>
      <c r="J120" s="800"/>
      <c r="K120" s="800"/>
      <c r="L120" s="662"/>
      <c r="M120" s="662"/>
      <c r="N120" s="662"/>
      <c r="O120" s="662"/>
      <c r="P120" s="800"/>
      <c r="Q120" s="800"/>
      <c r="R120" s="662"/>
      <c r="S120" s="662"/>
      <c r="T120" s="662"/>
      <c r="U120" s="590"/>
    </row>
    <row r="121" spans="1:21" s="140" customFormat="1" x14ac:dyDescent="0.25">
      <c r="A121" s="613"/>
      <c r="B121" s="678" t="s">
        <v>304</v>
      </c>
      <c r="C121" s="1478" t="s">
        <v>331</v>
      </c>
      <c r="D121" s="1542"/>
      <c r="E121" s="1542"/>
      <c r="F121" s="1542"/>
      <c r="G121" s="1542"/>
      <c r="H121" s="1542"/>
      <c r="I121" s="1542"/>
      <c r="J121" s="1542"/>
      <c r="K121" s="1542"/>
      <c r="L121" s="1542"/>
      <c r="M121" s="1542"/>
      <c r="N121" s="1542"/>
      <c r="O121" s="1542"/>
      <c r="P121" s="1542"/>
      <c r="Q121" s="1542"/>
      <c r="R121" s="1542"/>
      <c r="S121" s="1542"/>
      <c r="T121" s="1542"/>
      <c r="U121" s="590"/>
    </row>
    <row r="122" spans="1:21" s="140" customFormat="1" x14ac:dyDescent="0.25">
      <c r="A122" s="613"/>
      <c r="B122" s="678"/>
      <c r="C122" s="678"/>
      <c r="D122" s="662"/>
      <c r="E122" s="662"/>
      <c r="F122" s="662"/>
      <c r="G122" s="662"/>
      <c r="H122" s="675"/>
      <c r="I122" s="675"/>
      <c r="J122" s="593"/>
      <c r="K122" s="593"/>
      <c r="L122" s="662"/>
      <c r="M122" s="323"/>
      <c r="N122" s="323"/>
      <c r="O122" s="662"/>
      <c r="P122" s="324"/>
      <c r="Q122" s="324"/>
      <c r="R122" s="662"/>
      <c r="S122" s="662"/>
      <c r="T122" s="662"/>
      <c r="U122" s="590"/>
    </row>
    <row r="123" spans="1:21" s="140" customFormat="1" x14ac:dyDescent="0.25">
      <c r="A123" s="613"/>
      <c r="B123" s="678"/>
      <c r="C123" s="678"/>
      <c r="D123" s="662"/>
      <c r="E123" s="1475" t="s">
        <v>49</v>
      </c>
      <c r="F123" s="1452"/>
      <c r="G123" s="1543" t="str">
        <f>IF(ISNUMBER(Worksheet!I145),ROUND(Worksheet!I145,2),"")</f>
        <v/>
      </c>
      <c r="H123" s="1414"/>
      <c r="I123" s="675"/>
      <c r="J123" s="593"/>
      <c r="K123" s="662"/>
      <c r="L123" s="675" t="s">
        <v>50</v>
      </c>
      <c r="M123" s="1543" t="str">
        <f>IF(ISNUMBER(Worksheet!N145),ROUND(Worksheet!N145,2),"")</f>
        <v/>
      </c>
      <c r="N123" s="1414"/>
      <c r="O123" s="675"/>
      <c r="P123" s="593"/>
      <c r="Q123" s="799"/>
      <c r="R123" s="662"/>
      <c r="S123" s="662"/>
      <c r="T123" s="662"/>
      <c r="U123" s="590"/>
    </row>
    <row r="124" spans="1:21" x14ac:dyDescent="0.25">
      <c r="A124" s="613"/>
      <c r="B124" s="678"/>
      <c r="C124" s="678"/>
      <c r="D124" s="662"/>
      <c r="E124" s="662"/>
      <c r="F124" s="662"/>
      <c r="G124" s="662"/>
      <c r="H124" s="662"/>
      <c r="I124" s="662"/>
      <c r="J124" s="662"/>
      <c r="K124" s="662"/>
      <c r="L124" s="662"/>
      <c r="M124" s="662"/>
      <c r="N124" s="662"/>
      <c r="O124" s="662"/>
      <c r="P124" s="662"/>
      <c r="Q124" s="662"/>
      <c r="R124" s="662"/>
      <c r="S124" s="662"/>
      <c r="T124" s="662"/>
      <c r="U124" s="590"/>
    </row>
    <row r="125" spans="1:21" ht="12.75" customHeight="1" x14ac:dyDescent="0.25">
      <c r="A125" s="613"/>
      <c r="B125" s="678" t="s">
        <v>307</v>
      </c>
      <c r="C125" s="1374" t="s">
        <v>296</v>
      </c>
      <c r="D125" s="951"/>
      <c r="E125" s="951"/>
      <c r="F125" s="1407" t="str">
        <f>IF(Tax!D5=1," The federal and state tax exemptions for the dependent child are allocated as follows:"," The federal and state tax exemptions for the dependent children are allocated as follows:")</f>
        <v xml:space="preserve"> The federal and state tax exemptions for the dependent children are allocated as follows:</v>
      </c>
      <c r="G125" s="1542"/>
      <c r="H125" s="1542"/>
      <c r="I125" s="1542"/>
      <c r="J125" s="1542"/>
      <c r="K125" s="1542"/>
      <c r="L125" s="1542"/>
      <c r="M125" s="1542"/>
      <c r="N125" s="1542"/>
      <c r="O125" s="1542"/>
      <c r="P125" s="1542"/>
      <c r="Q125" s="1542"/>
      <c r="R125" s="1542"/>
      <c r="S125" s="1542"/>
      <c r="T125" s="1542"/>
      <c r="U125" s="590"/>
    </row>
    <row r="126" spans="1:21" x14ac:dyDescent="0.25">
      <c r="A126" s="613"/>
      <c r="B126" s="678"/>
      <c r="C126" s="678"/>
      <c r="D126" s="669"/>
      <c r="E126" s="669"/>
      <c r="F126" s="669"/>
      <c r="G126" s="669"/>
      <c r="H126" s="669"/>
      <c r="I126" s="669"/>
      <c r="J126" s="1549">
        <v>3</v>
      </c>
      <c r="K126" s="1549"/>
      <c r="L126" s="1549">
        <v>4</v>
      </c>
      <c r="M126" s="1549"/>
      <c r="N126" s="1549">
        <v>5</v>
      </c>
      <c r="O126" s="1549"/>
      <c r="P126" s="1549">
        <v>6</v>
      </c>
      <c r="Q126" s="1549"/>
      <c r="R126" s="1549">
        <v>7</v>
      </c>
      <c r="S126" s="1549"/>
      <c r="T126" s="669"/>
      <c r="U126" s="590"/>
    </row>
    <row r="127" spans="1:21" ht="12.75" customHeight="1" x14ac:dyDescent="0.25">
      <c r="A127" s="613"/>
      <c r="B127" s="678"/>
      <c r="C127" s="1499" t="s">
        <v>142</v>
      </c>
      <c r="D127" s="1500"/>
      <c r="E127" s="1501"/>
      <c r="F127" s="1501"/>
      <c r="G127" s="1502"/>
      <c r="H127" s="1513" t="str">
        <f>IF(AND(NOT(ISNUMBER(H129)),NOT(ISNUMBER(H130)),NOT(ISNUMBER(H131)),NOT(ISNUMBER(H132)),NOT(ISNUMBER(H133)),NOT(ISNUMBER(H134)),OR(ISNUMBER(G129),ISNUMBER(G130),ISNUMBER(G131),ISNUMBER(G132),ISNUMBER(G133),ISNUMBER(G134))),"Age",M21)</f>
        <v>Date of Birth</v>
      </c>
      <c r="I127" s="1514"/>
      <c r="J127" s="1520" t="s">
        <v>143</v>
      </c>
      <c r="K127" s="1521"/>
      <c r="L127" s="1521"/>
      <c r="M127" s="1521"/>
      <c r="N127" s="1521"/>
      <c r="O127" s="1521"/>
      <c r="P127" s="1521"/>
      <c r="Q127" s="1521"/>
      <c r="R127" s="1521"/>
      <c r="S127" s="1522"/>
      <c r="T127" s="593"/>
      <c r="U127" s="590"/>
    </row>
    <row r="128" spans="1:21" x14ac:dyDescent="0.25">
      <c r="A128" s="613"/>
      <c r="B128" s="678"/>
      <c r="C128" s="1503"/>
      <c r="D128" s="1504"/>
      <c r="E128" s="1504"/>
      <c r="F128" s="1504"/>
      <c r="G128" s="1505"/>
      <c r="H128" s="1515"/>
      <c r="I128" s="1516"/>
      <c r="J128" s="1509">
        <f ca="1">YEAR(TODAY())</f>
        <v>2022</v>
      </c>
      <c r="K128" s="1562"/>
      <c r="L128" s="1509">
        <f ca="1">IF(NOT(ISNUMBER(H129)),YEAR(TODAY())+1,IF(J128+1&lt;=YEAR(MAX(H129:H134))+18,J128+1,""))</f>
        <v>2023</v>
      </c>
      <c r="M128" s="1510"/>
      <c r="N128" s="1509">
        <f ca="1">IF(NOT(ISNUMBER(H129)),YEAR(TODAY())+2,IF(AND(ISNUMBER(H129),Tax!E15=0.5),"",IF(J128+2&lt;=YEAR(MAX(H129:H134))+18,J128+2,"")))</f>
        <v>2024</v>
      </c>
      <c r="O128" s="1510"/>
      <c r="P128" s="1509">
        <f ca="1">IF(NOT(ISNUMBER(H129)),YEAR(TODAY())+3,IF(OR(Tax!E15=0.7,Tax!E15=0.5,Tax!E15=0.3),"",IF(J128+3&lt;=YEAR(MAX(H129:H134))+18,J128+3,"")))</f>
        <v>2025</v>
      </c>
      <c r="Q128" s="1510"/>
      <c r="R128" s="1509">
        <f ca="1">IF(NOT(ISNUMBER(H129)),YEAR(TODAY())+4,IF(OR(Tax!E15=0.75,Tax!E15=0.7,Tax!E15=0.5,Tax!E15=0.3,Tax!E15=0.25),"",IF(J128+4&lt;=YEAR(MAX(H129:H134))+18,J128+4,"")))</f>
        <v>2026</v>
      </c>
      <c r="S128" s="1510"/>
      <c r="T128" s="593"/>
      <c r="U128" s="590"/>
    </row>
    <row r="129" spans="1:21" x14ac:dyDescent="0.25">
      <c r="A129" s="613"/>
      <c r="B129" s="678"/>
      <c r="C129" s="801" t="str">
        <f>Worksheet!E155</f>
        <v/>
      </c>
      <c r="D129" s="325"/>
      <c r="E129" s="325"/>
      <c r="F129" s="325"/>
      <c r="G129" s="326" t="str">
        <f t="shared" ref="G129:G134" si="0">IF(ISNUMBER(K22),K22,"")</f>
        <v/>
      </c>
      <c r="H129" s="1507" t="str">
        <f t="shared" ref="H129:H134" si="1">IF(AND(ISNUMBER(K22),K22&lt;=1,NOT(ISNUMBER(M22))),"Year Old",IF(AND(ISNUMBER(K22),K22&gt;1,NOT(ISNUMBER(M22))),"Years Old",M22))</f>
        <v/>
      </c>
      <c r="I129" s="1508"/>
      <c r="J129" s="1511" t="str">
        <f ca="1">IF(OR(CustomTaxDeduction,AND(ISNUMBER($H129),J$128&lt;=YEAR(IF(ISNUMBER($H129),$H129,0))+18)),VLOOKUP(TaxAB!$D$13+TaxAB!$K27,TaxAB!$D$27:$J$331,J$126,FALSE),"")</f>
        <v/>
      </c>
      <c r="K129" s="1512"/>
      <c r="L129" s="1511" t="str">
        <f ca="1">IF(OR(CustomTaxDeduction,AND(ISNUMBER($H129),L$128&lt;=YEAR(IF(ISNUMBER($H129),$H129,0))+18)),VLOOKUP(TaxAB!$D$13+TaxAB!$K27,TaxAB!$D$27:$J$331,L$126,FALSE),"")</f>
        <v/>
      </c>
      <c r="M129" s="1512"/>
      <c r="N129" s="1511" t="str">
        <f ca="1">IF(OR(CustomTaxDeduction,AND(ISNUMBER($H129),N$128&lt;=YEAR(IF(ISNUMBER($H129),$H129,0))+18)),VLOOKUP(TaxAB!$D$13+TaxAB!$K27,TaxAB!$D$27:$J$331,N$126,FALSE),"")</f>
        <v/>
      </c>
      <c r="O129" s="1512"/>
      <c r="P129" s="1511" t="str">
        <f ca="1">IF(OR(CustomTaxDeduction,AND(ISNUMBER($H129),P$128&lt;=YEAR(IF(ISNUMBER($H129),$H129,0))+18)),VLOOKUP(TaxAB!$D$13+TaxAB!$K27,TaxAB!$D$27:$J$331,P$126,FALSE),"")</f>
        <v/>
      </c>
      <c r="Q129" s="1512"/>
      <c r="R129" s="1511" t="str">
        <f ca="1">IF(OR(CustomTaxDeduction,AND(ISNUMBER($H129),R$128&lt;=YEAR(IF(ISNUMBER($H129),$H129,0))+18)),VLOOKUP(TaxAB!$D$13+TaxAB!$K27,TaxAB!$D$27:$J$331,R$126,FALSE),"")</f>
        <v/>
      </c>
      <c r="S129" s="1512"/>
      <c r="T129" s="593"/>
      <c r="U129" s="471"/>
    </row>
    <row r="130" spans="1:21" x14ac:dyDescent="0.25">
      <c r="A130" s="613"/>
      <c r="B130" s="678"/>
      <c r="C130" s="801" t="str">
        <f>Worksheet!E156</f>
        <v/>
      </c>
      <c r="D130" s="325"/>
      <c r="E130" s="325"/>
      <c r="F130" s="325"/>
      <c r="G130" s="326" t="str">
        <f t="shared" si="0"/>
        <v/>
      </c>
      <c r="H130" s="1507" t="str">
        <f t="shared" si="1"/>
        <v/>
      </c>
      <c r="I130" s="1508"/>
      <c r="J130" s="1511" t="str">
        <f ca="1">IF(OR(CustomTaxDeduction,AND(ISNUMBER($H130),J$128&lt;=YEAR(IF(ISNUMBER($H130),$H130,0))+18)),VLOOKUP(TaxAB!$D$13+TaxAB!$K28,TaxAB!$D$27:$J$331,J$126,FALSE),"")</f>
        <v/>
      </c>
      <c r="K130" s="1512"/>
      <c r="L130" s="1511" t="str">
        <f ca="1">IF(OR(CustomTaxDeduction,AND(ISNUMBER($H130),L$128&lt;=YEAR(IF(ISNUMBER($H130),$H130,0))+18)),VLOOKUP(TaxAB!$D$13+TaxAB!$K28,TaxAB!$D$27:$J$331,L$126,FALSE),"")</f>
        <v/>
      </c>
      <c r="M130" s="1512"/>
      <c r="N130" s="1511" t="str">
        <f ca="1">IF(OR(CustomTaxDeduction,AND(ISNUMBER($H130),N$128&lt;=YEAR(IF(ISNUMBER($H130),$H130,0))+18)),VLOOKUP(TaxAB!$D$13+TaxAB!$K28,TaxAB!$D$27:$J$331,N$126,FALSE),"")</f>
        <v/>
      </c>
      <c r="O130" s="1512"/>
      <c r="P130" s="1511" t="str">
        <f ca="1">IF(OR(CustomTaxDeduction,AND(ISNUMBER($H130),P$128&lt;=YEAR(IF(ISNUMBER($H130),$H130,0))+18)),VLOOKUP(TaxAB!$D$13+TaxAB!$K28,TaxAB!$D$27:$J$331,P$126,FALSE),"")</f>
        <v/>
      </c>
      <c r="Q130" s="1512"/>
      <c r="R130" s="1511" t="str">
        <f ca="1">IF(OR(CustomTaxDeduction,AND(ISNUMBER($H130),R$128&lt;=YEAR(IF(ISNUMBER($H130),$H130,0))+18)),VLOOKUP(TaxAB!$D$13+TaxAB!$K28,TaxAB!$D$27:$J$331,R$126,FALSE),"")</f>
        <v/>
      </c>
      <c r="S130" s="1512"/>
      <c r="T130" s="593"/>
      <c r="U130" s="590"/>
    </row>
    <row r="131" spans="1:21" x14ac:dyDescent="0.25">
      <c r="A131" s="613"/>
      <c r="B131" s="678"/>
      <c r="C131" s="801" t="str">
        <f>Worksheet!E157</f>
        <v/>
      </c>
      <c r="D131" s="325"/>
      <c r="E131" s="325"/>
      <c r="F131" s="325"/>
      <c r="G131" s="326" t="str">
        <f t="shared" si="0"/>
        <v/>
      </c>
      <c r="H131" s="1507" t="str">
        <f t="shared" si="1"/>
        <v/>
      </c>
      <c r="I131" s="1508"/>
      <c r="J131" s="1511" t="str">
        <f ca="1">IF(OR(CustomTaxDeduction,AND(ISNUMBER($H131),J$128&lt;=YEAR(IF(ISNUMBER($H131),$H131,0))+18)),VLOOKUP(TaxAB!$D$13+TaxAB!$K29,TaxAB!$D$27:$J$331,J$126,FALSE),"")</f>
        <v/>
      </c>
      <c r="K131" s="1512"/>
      <c r="L131" s="1511" t="str">
        <f ca="1">IF(OR(CustomTaxDeduction,AND(ISNUMBER($H131),L$128&lt;=YEAR(IF(ISNUMBER($H131),$H131,0))+18)),VLOOKUP(TaxAB!$D$13+TaxAB!$K29,TaxAB!$D$27:$J$331,L$126,FALSE),"")</f>
        <v/>
      </c>
      <c r="M131" s="1512"/>
      <c r="N131" s="1511" t="str">
        <f ca="1">IF(OR(CustomTaxDeduction,AND(ISNUMBER($H131),N$128&lt;=YEAR(IF(ISNUMBER($H131),$H131,0))+18)),VLOOKUP(TaxAB!$D$13+TaxAB!$K29,TaxAB!$D$27:$J$331,N$126,FALSE),"")</f>
        <v/>
      </c>
      <c r="O131" s="1512"/>
      <c r="P131" s="1511" t="str">
        <f ca="1">IF(OR(CustomTaxDeduction,AND(ISNUMBER($H131),P$128&lt;=YEAR(IF(ISNUMBER($H131),$H131,0))+18)),VLOOKUP(TaxAB!$D$13+TaxAB!$K29,TaxAB!$D$27:$J$331,P$126,FALSE),"")</f>
        <v/>
      </c>
      <c r="Q131" s="1512"/>
      <c r="R131" s="1511" t="str">
        <f ca="1">IF(OR(CustomTaxDeduction,AND(ISNUMBER($H131),R$128&lt;=YEAR(IF(ISNUMBER($H131),$H131,0))+18)),VLOOKUP(TaxAB!$D$13+TaxAB!$K29,TaxAB!$D$27:$J$331,R$126,FALSE),"")</f>
        <v/>
      </c>
      <c r="S131" s="1512"/>
      <c r="T131" s="593"/>
      <c r="U131" s="590"/>
    </row>
    <row r="132" spans="1:21" x14ac:dyDescent="0.25">
      <c r="A132" s="613"/>
      <c r="B132" s="678"/>
      <c r="C132" s="801" t="str">
        <f>Worksheet!E158</f>
        <v/>
      </c>
      <c r="D132" s="325"/>
      <c r="E132" s="325"/>
      <c r="F132" s="325"/>
      <c r="G132" s="326" t="str">
        <f t="shared" si="0"/>
        <v/>
      </c>
      <c r="H132" s="1507" t="str">
        <f t="shared" si="1"/>
        <v/>
      </c>
      <c r="I132" s="1508"/>
      <c r="J132" s="1496" t="str">
        <f ca="1">IF(OR(CustomTaxDeduction,AND(ISNUMBER($H132),J$128&lt;=YEAR(IF(ISNUMBER($H132),$H132,0))+18)),VLOOKUP(TaxAB!$D$13+TaxAB!$K30,TaxAB!$D$27:$J$331,J$126,FALSE),"")</f>
        <v/>
      </c>
      <c r="K132" s="1497"/>
      <c r="L132" s="1496" t="str">
        <f ca="1">IF(OR(CustomTaxDeduction,AND(ISNUMBER($H132),L$128&lt;=YEAR(IF(ISNUMBER($H132),$H132,0))+18)),VLOOKUP(TaxAB!$D$13+TaxAB!$K30,TaxAB!$D$27:$J$331,L$126,FALSE),"")</f>
        <v/>
      </c>
      <c r="M132" s="1497"/>
      <c r="N132" s="1496" t="str">
        <f ca="1">IF(OR(CustomTaxDeduction,AND(ISNUMBER($H132),N$128&lt;=YEAR(IF(ISNUMBER($H132),$H132,0))+18)),VLOOKUP(TaxAB!$D$13+TaxAB!$K30,TaxAB!$D$27:$J$331,N$126,FALSE),"")</f>
        <v/>
      </c>
      <c r="O132" s="1497"/>
      <c r="P132" s="1496" t="str">
        <f ca="1">IF(OR(CustomTaxDeduction,AND(ISNUMBER($H132),P$128&lt;=YEAR(IF(ISNUMBER($H132),$H132,0))+18)),VLOOKUP(TaxAB!$D$13+TaxAB!$K30,TaxAB!$D$27:$J$331,P$126,FALSE),"")</f>
        <v/>
      </c>
      <c r="Q132" s="1497"/>
      <c r="R132" s="1496" t="str">
        <f ca="1">IF(OR(CustomTaxDeduction,AND(ISNUMBER($H132),R$128&lt;=YEAR(IF(ISNUMBER($H132),$H132,0))+18)),VLOOKUP(TaxAB!$D$13+TaxAB!$K30,TaxAB!$D$27:$J$331,R$126,FALSE),"")</f>
        <v/>
      </c>
      <c r="S132" s="1497"/>
      <c r="T132" s="593"/>
      <c r="U132" s="590"/>
    </row>
    <row r="133" spans="1:21" x14ac:dyDescent="0.25">
      <c r="A133" s="613"/>
      <c r="B133" s="678"/>
      <c r="C133" s="801" t="str">
        <f>Worksheet!E159</f>
        <v/>
      </c>
      <c r="D133" s="325"/>
      <c r="E133" s="325"/>
      <c r="F133" s="325"/>
      <c r="G133" s="326" t="str">
        <f t="shared" si="0"/>
        <v/>
      </c>
      <c r="H133" s="1507" t="str">
        <f t="shared" si="1"/>
        <v/>
      </c>
      <c r="I133" s="1508"/>
      <c r="J133" s="1496" t="str">
        <f ca="1">IF(OR(CustomTaxDeduction,AND(ISNUMBER($H133),J$128&lt;=YEAR(IF(ISNUMBER($H133),$H133,0))+18)),VLOOKUP(TaxAB!$D$13+TaxAB!$K31,TaxAB!$D$27:$J$331,J$126,FALSE),"")</f>
        <v/>
      </c>
      <c r="K133" s="1497"/>
      <c r="L133" s="1496" t="str">
        <f ca="1">IF(OR(CustomTaxDeduction,AND(ISNUMBER($H133),L$128&lt;=YEAR(IF(ISNUMBER($H133),$H133,0))+18)),VLOOKUP(TaxAB!$D$13+TaxAB!$K31,TaxAB!$D$27:$J$331,L$126,FALSE),"")</f>
        <v/>
      </c>
      <c r="M133" s="1497"/>
      <c r="N133" s="1496" t="str">
        <f ca="1">IF(OR(CustomTaxDeduction,AND(ISNUMBER($H133),N$128&lt;=YEAR(IF(ISNUMBER($H133),$H133,0))+18)),VLOOKUP(TaxAB!$D$13+TaxAB!$K31,TaxAB!$D$27:$J$331,N$126,FALSE),"")</f>
        <v/>
      </c>
      <c r="O133" s="1497"/>
      <c r="P133" s="1496" t="str">
        <f ca="1">IF(OR(CustomTaxDeduction,AND(ISNUMBER($H133),P$128&lt;=YEAR(IF(ISNUMBER($H133),$H133,0))+18)),VLOOKUP(TaxAB!$D$13+TaxAB!$K31,TaxAB!$D$27:$J$331,P$126,FALSE),"")</f>
        <v/>
      </c>
      <c r="Q133" s="1497"/>
      <c r="R133" s="1496" t="str">
        <f ca="1">IF(OR(CustomTaxDeduction,AND(ISNUMBER($H133),R$128&lt;=YEAR(IF(ISNUMBER($H133),$H133,0))+18)),VLOOKUP(TaxAB!$D$13+TaxAB!$K31,TaxAB!$D$27:$J$331,R$126,FALSE),"")</f>
        <v/>
      </c>
      <c r="S133" s="1497"/>
      <c r="T133" s="593"/>
      <c r="U133" s="590"/>
    </row>
    <row r="134" spans="1:21" x14ac:dyDescent="0.25">
      <c r="A134" s="613"/>
      <c r="B134" s="678"/>
      <c r="C134" s="801" t="str">
        <f>Worksheet!E160</f>
        <v/>
      </c>
      <c r="D134" s="325"/>
      <c r="E134" s="325"/>
      <c r="F134" s="325"/>
      <c r="G134" s="326" t="str">
        <f t="shared" si="0"/>
        <v/>
      </c>
      <c r="H134" s="1507" t="str">
        <f t="shared" si="1"/>
        <v/>
      </c>
      <c r="I134" s="1508"/>
      <c r="J134" s="1496" t="str">
        <f ca="1">IF(OR(CustomTaxDeduction,AND(ISNUMBER($H134),J$128&lt;=YEAR(IF(ISNUMBER($H134),$H134,0))+18)),VLOOKUP(TaxAB!$D$13+TaxAB!$K32,TaxAB!$D$27:$J$331,J$126,FALSE),"")</f>
        <v/>
      </c>
      <c r="K134" s="1497"/>
      <c r="L134" s="1496" t="str">
        <f ca="1">IF(OR(CustomTaxDeduction,AND(ISNUMBER($H134),L$128&lt;=YEAR(IF(ISNUMBER($H134),$H134,0))+18)),VLOOKUP(TaxAB!$D$13+TaxAB!$K32,TaxAB!$D$27:$J$331,L$126,FALSE),"")</f>
        <v/>
      </c>
      <c r="M134" s="1497"/>
      <c r="N134" s="1496" t="str">
        <f ca="1">IF(OR(CustomTaxDeduction,AND(ISNUMBER($H134),N$128&lt;=YEAR(IF(ISNUMBER($H134),$H134,0))+18)),VLOOKUP(TaxAB!$D$13+TaxAB!$K32,TaxAB!$D$27:$J$331,N$126,FALSE),"")</f>
        <v/>
      </c>
      <c r="O134" s="1497"/>
      <c r="P134" s="1496" t="str">
        <f ca="1">IF(OR(CustomTaxDeduction,AND(ISNUMBER($H134),P$128&lt;=YEAR(IF(ISNUMBER($H134),$H134,0))+18)),VLOOKUP(TaxAB!$D$13+TaxAB!$K32,TaxAB!$D$27:$J$331,P$126,FALSE),"")</f>
        <v/>
      </c>
      <c r="Q134" s="1497"/>
      <c r="R134" s="1496" t="str">
        <f ca="1">IF(OR(CustomTaxDeduction,AND(ISNUMBER($H134),R$128&lt;=YEAR(IF(ISNUMBER($H134),$H134,0))+18)),VLOOKUP(TaxAB!$D$13+TaxAB!$K32,TaxAB!$D$27:$J$331,R$126,FALSE),"")</f>
        <v/>
      </c>
      <c r="S134" s="1497"/>
      <c r="T134" s="327"/>
      <c r="U134" s="590"/>
    </row>
    <row r="135" spans="1:21" x14ac:dyDescent="0.25">
      <c r="A135" s="613"/>
      <c r="B135" s="322"/>
      <c r="C135" s="673"/>
      <c r="D135" s="328"/>
      <c r="E135" s="328"/>
      <c r="F135" s="328"/>
      <c r="G135" s="328"/>
      <c r="H135" s="802"/>
      <c r="I135" s="329"/>
      <c r="J135" s="803"/>
      <c r="K135" s="329"/>
      <c r="L135" s="803"/>
      <c r="M135" s="329"/>
      <c r="N135" s="803"/>
      <c r="O135" s="329"/>
      <c r="P135" s="803"/>
      <c r="Q135" s="329"/>
      <c r="R135" s="803"/>
      <c r="S135" s="329"/>
      <c r="T135" s="588"/>
      <c r="U135" s="590"/>
    </row>
    <row r="136" spans="1:21" ht="17.25" customHeight="1" x14ac:dyDescent="0.25">
      <c r="A136" s="194"/>
      <c r="B136" s="678"/>
      <c r="C136" s="673"/>
      <c r="D136" s="328"/>
      <c r="E136" s="328"/>
      <c r="F136" s="328"/>
      <c r="G136" s="328"/>
      <c r="H136" s="802"/>
      <c r="I136" s="329"/>
      <c r="J136" s="803"/>
      <c r="K136" s="329"/>
      <c r="L136" s="803"/>
      <c r="M136" s="329"/>
      <c r="N136" s="803"/>
      <c r="O136" s="1307" t="s">
        <v>247</v>
      </c>
      <c r="P136" s="950"/>
      <c r="Q136" s="1518" t="str">
        <f>CaseNumber</f>
        <v/>
      </c>
      <c r="R136" s="1414"/>
      <c r="S136" s="1414"/>
      <c r="T136" s="1414"/>
      <c r="U136" s="590"/>
    </row>
    <row r="137" spans="1:21" x14ac:dyDescent="0.25">
      <c r="A137" s="613"/>
      <c r="B137" s="678"/>
      <c r="C137" s="673"/>
      <c r="D137" s="328"/>
      <c r="E137" s="328"/>
      <c r="F137" s="328"/>
      <c r="G137" s="328"/>
      <c r="H137" s="802"/>
      <c r="I137" s="329"/>
      <c r="J137" s="803"/>
      <c r="K137" s="329"/>
      <c r="L137" s="803"/>
      <c r="M137" s="329"/>
      <c r="N137" s="803"/>
      <c r="O137" s="329"/>
      <c r="P137" s="590"/>
      <c r="Q137" s="590"/>
      <c r="R137" s="590"/>
      <c r="S137" s="590"/>
      <c r="T137" s="590"/>
      <c r="U137" s="590"/>
    </row>
    <row r="138" spans="1:21" s="241" customFormat="1" x14ac:dyDescent="0.25">
      <c r="A138" s="613"/>
      <c r="B138" s="678"/>
      <c r="C138" s="1466" t="s">
        <v>297</v>
      </c>
      <c r="D138" s="1542"/>
      <c r="E138" s="1542"/>
      <c r="F138" s="1542"/>
      <c r="G138" s="1542"/>
      <c r="H138" s="1542"/>
      <c r="I138" s="1542"/>
      <c r="J138" s="1542"/>
      <c r="K138" s="1542"/>
      <c r="L138" s="1542"/>
      <c r="M138" s="1542"/>
      <c r="N138" s="1542"/>
      <c r="O138" s="1542"/>
      <c r="P138" s="1542"/>
      <c r="Q138" s="1542"/>
      <c r="R138" s="1542"/>
      <c r="S138" s="1542"/>
      <c r="T138" s="1542"/>
      <c r="U138" s="590"/>
    </row>
    <row r="139" spans="1:21" s="80" customFormat="1" ht="25.5" customHeight="1" x14ac:dyDescent="0.25">
      <c r="A139" s="613"/>
      <c r="B139" s="804"/>
      <c r="C139" s="1506" t="str">
        <f>IF(Worksheet!U47=1,"For any years following those listed above while this Child Support Order remains in effect, the parties shall repeat the above pattern of claiming tax deductions for the child.","For any years following those listed above while this Child Support Order remains in effect, the parties shall repeat the above pattern of claiming tax deductions for each child.")</f>
        <v>For any years following those listed above while this Child Support Order remains in effect, the parties shall repeat the above pattern of claiming tax deductions for each child.</v>
      </c>
      <c r="D139" s="1411"/>
      <c r="E139" s="1411"/>
      <c r="F139" s="1411"/>
      <c r="G139" s="1411"/>
      <c r="H139" s="1411"/>
      <c r="I139" s="1411"/>
      <c r="J139" s="1411"/>
      <c r="K139" s="1411"/>
      <c r="L139" s="1411"/>
      <c r="M139" s="1411"/>
      <c r="N139" s="1411"/>
      <c r="O139" s="1411"/>
      <c r="P139" s="1411"/>
      <c r="Q139" s="1411"/>
      <c r="R139" s="1411"/>
      <c r="S139" s="1411"/>
      <c r="T139" s="1411"/>
      <c r="U139" s="235"/>
    </row>
    <row r="140" spans="1:21" ht="24.75" customHeight="1" x14ac:dyDescent="0.25">
      <c r="A140" s="613"/>
      <c r="B140" s="678"/>
      <c r="C140" s="1407" t="str">
        <f>IF(AND(Worksheet!$K$148="x",ISNUMBER(Worksheet!$U$80)),"Each year, Parent A may claim any exemptions allocated to Parent A only if all child support and arrears ordered for the year have been paid by December 31 of that year.",IF(AND(Worksheet!$K$148="x",ISNUMBER(Worksheet!$Y$80)),"Each year, Parent B may claim any exemptions allocated to Parent B only if all child support and arrears ordered for the year have been paid by December 31 of that year.",IF(AND(NOT(ISBLANK(Worksheet!$K$149)),ISNUMBER(Worksheet!$U$80)),"Each year, Parent A may unconditionally claim any exemptions allocated to Parent A above for all federal and state income tax purposes.",IF(AND(NOT(ISBLANK(Worksheet!$K$149)),ISNUMBER(Worksheet!$Y$80)),"Each year, Parent B may unconditionally claim any exemptions allocated to Parent B above for all federal and state income tax purposes.","Each year, the obligor may claim these exemptions only if the obligor has paid all child support and arrears ordered for the year by December 31 of that year."))))</f>
        <v>Each year, the obligor may claim these exemptions only if the obligor has paid all child support and arrears ordered for the year by December 31 of that year.</v>
      </c>
      <c r="D140" s="1411"/>
      <c r="E140" s="1411"/>
      <c r="F140" s="1411"/>
      <c r="G140" s="1411"/>
      <c r="H140" s="1411"/>
      <c r="I140" s="1411"/>
      <c r="J140" s="1411"/>
      <c r="K140" s="1411"/>
      <c r="L140" s="1411"/>
      <c r="M140" s="1411"/>
      <c r="N140" s="1411"/>
      <c r="O140" s="1411"/>
      <c r="P140" s="1411"/>
      <c r="Q140" s="1411"/>
      <c r="R140" s="1411"/>
      <c r="S140" s="1411"/>
      <c r="T140" s="1411"/>
      <c r="U140" s="590"/>
    </row>
    <row r="141" spans="1:21" s="185" customFormat="1" ht="12.75" customHeight="1" x14ac:dyDescent="0.25">
      <c r="A141" s="613"/>
      <c r="B141" s="678"/>
      <c r="C141" s="669"/>
      <c r="D141" s="666"/>
      <c r="E141" s="666"/>
      <c r="F141" s="666"/>
      <c r="G141" s="666"/>
      <c r="H141" s="666"/>
      <c r="I141" s="666"/>
      <c r="J141" s="666"/>
      <c r="K141" s="666"/>
      <c r="L141" s="666"/>
      <c r="M141" s="666"/>
      <c r="N141" s="666"/>
      <c r="O141" s="666"/>
      <c r="P141" s="666"/>
      <c r="Q141" s="666"/>
      <c r="R141" s="666"/>
      <c r="S141" s="666"/>
      <c r="T141" s="666"/>
      <c r="U141" s="590"/>
    </row>
    <row r="142" spans="1:21" s="185" customFormat="1" ht="38.25" customHeight="1" x14ac:dyDescent="0.25">
      <c r="A142" s="613"/>
      <c r="B142" s="678" t="s">
        <v>332</v>
      </c>
      <c r="C142" s="1406" t="s">
        <v>333</v>
      </c>
      <c r="D142" s="1411"/>
      <c r="E142" s="1411"/>
      <c r="F142" s="1411"/>
      <c r="G142" s="1411"/>
      <c r="H142" s="1411"/>
      <c r="I142" s="1411"/>
      <c r="J142" s="1411"/>
      <c r="K142" s="1411"/>
      <c r="L142" s="1411"/>
      <c r="M142" s="1411"/>
      <c r="N142" s="1411"/>
      <c r="O142" s="1411"/>
      <c r="P142" s="1411"/>
      <c r="Q142" s="1411"/>
      <c r="R142" s="1411"/>
      <c r="S142" s="1411"/>
      <c r="T142" s="1411"/>
      <c r="U142" s="590"/>
    </row>
    <row r="143" spans="1:21" x14ac:dyDescent="0.25">
      <c r="A143" s="613"/>
      <c r="B143" s="678"/>
      <c r="C143" s="678"/>
      <c r="D143" s="662"/>
      <c r="E143" s="662"/>
      <c r="F143" s="662"/>
      <c r="G143" s="662"/>
      <c r="H143" s="662"/>
      <c r="I143" s="662"/>
      <c r="J143" s="662"/>
      <c r="K143" s="662"/>
      <c r="L143" s="662"/>
      <c r="M143" s="662"/>
      <c r="N143" s="662"/>
      <c r="O143" s="662"/>
      <c r="P143" s="662"/>
      <c r="Q143" s="662"/>
      <c r="R143" s="662"/>
      <c r="S143" s="662"/>
      <c r="T143" s="662"/>
      <c r="U143" s="590"/>
    </row>
    <row r="144" spans="1:21" x14ac:dyDescent="0.25">
      <c r="A144" s="613"/>
      <c r="B144" s="1489" t="s">
        <v>303</v>
      </c>
      <c r="C144" s="1489"/>
      <c r="D144" s="1406"/>
      <c r="E144" s="1406"/>
      <c r="F144" s="1406"/>
      <c r="G144" s="1406"/>
      <c r="H144" s="1406"/>
      <c r="I144" s="1406"/>
      <c r="J144" s="1406"/>
      <c r="K144" s="1406"/>
      <c r="L144" s="1406"/>
      <c r="M144" s="1406"/>
      <c r="N144" s="1406"/>
      <c r="O144" s="1406"/>
      <c r="P144" s="1406"/>
      <c r="Q144" s="1406"/>
      <c r="R144" s="1406"/>
      <c r="S144" s="1406"/>
      <c r="T144" s="1406"/>
      <c r="U144" s="590"/>
    </row>
    <row r="145" spans="1:21" x14ac:dyDescent="0.25">
      <c r="A145" s="613"/>
      <c r="B145" s="678"/>
      <c r="C145" s="678"/>
      <c r="D145" s="662"/>
      <c r="E145" s="662"/>
      <c r="F145" s="662"/>
      <c r="G145" s="662"/>
      <c r="H145" s="662"/>
      <c r="I145" s="662"/>
      <c r="J145" s="662"/>
      <c r="K145" s="662"/>
      <c r="L145" s="662"/>
      <c r="M145" s="662"/>
      <c r="N145" s="662"/>
      <c r="O145" s="662"/>
      <c r="P145" s="662"/>
      <c r="Q145" s="662"/>
      <c r="R145" s="662"/>
      <c r="S145" s="662"/>
      <c r="T145" s="662"/>
      <c r="U145" s="590"/>
    </row>
    <row r="146" spans="1:21" ht="16.5" customHeight="1" x14ac:dyDescent="0.25">
      <c r="A146" s="613"/>
      <c r="B146" s="678" t="s">
        <v>334</v>
      </c>
      <c r="C146" s="1489" t="s">
        <v>335</v>
      </c>
      <c r="D146" s="1498"/>
      <c r="E146" s="1498"/>
      <c r="F146" s="1498"/>
      <c r="G146" s="1498"/>
      <c r="H146" s="1498"/>
      <c r="I146" s="1498"/>
      <c r="J146" s="1498"/>
      <c r="K146" s="1498"/>
      <c r="L146" s="1498"/>
      <c r="M146" s="1498"/>
      <c r="N146" s="1498"/>
      <c r="O146" s="1498"/>
      <c r="P146" s="1498"/>
      <c r="Q146" s="1498"/>
      <c r="R146" s="1498"/>
      <c r="S146" s="1498"/>
      <c r="T146" s="1498"/>
      <c r="U146" s="590"/>
    </row>
    <row r="147" spans="1:21" s="185" customFormat="1" ht="25.5" customHeight="1" x14ac:dyDescent="0.25">
      <c r="A147" s="613"/>
      <c r="B147" s="678"/>
      <c r="C147" s="1457" t="s">
        <v>336</v>
      </c>
      <c r="D147" s="1498"/>
      <c r="E147" s="1498"/>
      <c r="F147" s="1498"/>
      <c r="G147" s="1498"/>
      <c r="H147" s="1498"/>
      <c r="I147" s="1498"/>
      <c r="J147" s="1498"/>
      <c r="K147" s="1498"/>
      <c r="L147" s="1498"/>
      <c r="M147" s="1498"/>
      <c r="N147" s="1498"/>
      <c r="O147" s="1498"/>
      <c r="P147" s="1498"/>
      <c r="Q147" s="1498"/>
      <c r="R147" s="1498"/>
      <c r="S147" s="1498"/>
      <c r="T147" s="1498"/>
      <c r="U147" s="590"/>
    </row>
    <row r="148" spans="1:21" s="8" customFormat="1" ht="15.75" customHeight="1" x14ac:dyDescent="0.25">
      <c r="A148" s="613"/>
      <c r="B148" s="403"/>
      <c r="C148" s="403"/>
      <c r="D148" s="1178" t="s">
        <v>337</v>
      </c>
      <c r="E148" s="1178"/>
      <c r="F148" s="1178"/>
      <c r="G148" s="1178"/>
      <c r="H148" s="1178"/>
      <c r="I148" s="1178"/>
      <c r="J148" s="1178"/>
      <c r="K148" s="1178"/>
      <c r="L148" s="1178"/>
      <c r="M148" s="1178"/>
      <c r="N148" s="1178"/>
      <c r="O148" s="1178"/>
      <c r="P148" s="1178"/>
      <c r="Q148" s="1178"/>
      <c r="R148" s="1178"/>
      <c r="S148" s="1178"/>
      <c r="T148" s="1178"/>
      <c r="U148" s="613"/>
    </row>
    <row r="149" spans="1:21" x14ac:dyDescent="0.25">
      <c r="A149" s="613"/>
      <c r="B149" s="678"/>
      <c r="C149" s="678"/>
      <c r="D149" s="1407" t="s">
        <v>338</v>
      </c>
      <c r="E149" s="1407"/>
      <c r="F149" s="1407"/>
      <c r="G149" s="1407"/>
      <c r="H149" s="1407"/>
      <c r="I149" s="1407"/>
      <c r="J149" s="1407"/>
      <c r="K149" s="1407"/>
      <c r="L149" s="1407"/>
      <c r="M149" s="1407"/>
      <c r="N149" s="1407"/>
      <c r="O149" s="1407"/>
      <c r="P149" s="1407"/>
      <c r="Q149" s="1407"/>
      <c r="R149" s="1407"/>
      <c r="S149" s="1407"/>
      <c r="T149" s="1407"/>
      <c r="U149" s="590"/>
    </row>
    <row r="150" spans="1:21" x14ac:dyDescent="0.25">
      <c r="A150" s="613"/>
      <c r="B150" s="678"/>
      <c r="C150" s="678"/>
      <c r="D150" s="1407" t="s">
        <v>339</v>
      </c>
      <c r="E150" s="1407"/>
      <c r="F150" s="1407"/>
      <c r="G150" s="1407"/>
      <c r="H150" s="1407"/>
      <c r="I150" s="1407"/>
      <c r="J150" s="1407"/>
      <c r="K150" s="1407"/>
      <c r="L150" s="1407"/>
      <c r="M150" s="1407"/>
      <c r="N150" s="1407"/>
      <c r="O150" s="1407"/>
      <c r="P150" s="1407"/>
      <c r="Q150" s="1407"/>
      <c r="R150" s="1407"/>
      <c r="S150" s="1407"/>
      <c r="T150" s="1407"/>
      <c r="U150" s="590"/>
    </row>
    <row r="151" spans="1:21" ht="22.5" customHeight="1" x14ac:dyDescent="0.25">
      <c r="A151" s="613"/>
      <c r="B151" s="678"/>
      <c r="C151" s="678"/>
      <c r="D151" s="1407" t="s">
        <v>340</v>
      </c>
      <c r="E151" s="1407"/>
      <c r="F151" s="1407"/>
      <c r="G151" s="1407"/>
      <c r="H151" s="1407"/>
      <c r="I151" s="1407"/>
      <c r="J151" s="1407"/>
      <c r="K151" s="1407"/>
      <c r="L151" s="1407"/>
      <c r="M151" s="1407"/>
      <c r="N151" s="1407"/>
      <c r="O151" s="1407"/>
      <c r="P151" s="1407"/>
      <c r="Q151" s="1407"/>
      <c r="R151" s="1407"/>
      <c r="S151" s="1407"/>
      <c r="T151" s="1407"/>
      <c r="U151" s="590"/>
    </row>
    <row r="152" spans="1:21" ht="12.75" customHeight="1" x14ac:dyDescent="0.25">
      <c r="A152" s="613"/>
      <c r="B152" s="805" t="str">
        <f>IF(IVD,"17.","")</f>
        <v/>
      </c>
      <c r="C152" s="1548" t="str">
        <f>IF(IVD,"Periodic Review.","")</f>
        <v/>
      </c>
      <c r="D152" s="1542"/>
      <c r="E152" s="1542"/>
      <c r="F152" s="1412" t="str">
        <f>IF(IVD,"  The State and each party in a IV-D case has the right, once every three years, to","")</f>
        <v/>
      </c>
      <c r="G152" s="1498"/>
      <c r="H152" s="1498"/>
      <c r="I152" s="1498"/>
      <c r="J152" s="1498"/>
      <c r="K152" s="1498"/>
      <c r="L152" s="1498"/>
      <c r="M152" s="1498"/>
      <c r="N152" s="1498"/>
      <c r="O152" s="1498"/>
      <c r="P152" s="1498"/>
      <c r="Q152" s="1498"/>
      <c r="R152" s="1498"/>
      <c r="S152" s="1498"/>
      <c r="T152" s="1498"/>
      <c r="U152" s="590"/>
    </row>
    <row r="153" spans="1:21" s="185" customFormat="1" ht="27" customHeight="1" x14ac:dyDescent="0.25">
      <c r="A153" s="613"/>
      <c r="B153" s="678"/>
      <c r="C153" s="1412" t="str">
        <f>IF(IVD,"request that D.C.S.E. conduct a review of this child support order without a specific showing of a changed cirucumstance that is substantial and continuing.  If appropriate, the Department of Economic Security","")</f>
        <v/>
      </c>
      <c r="D153" s="1498"/>
      <c r="E153" s="1498"/>
      <c r="F153" s="1498"/>
      <c r="G153" s="1498"/>
      <c r="H153" s="1498"/>
      <c r="I153" s="1498"/>
      <c r="J153" s="1498"/>
      <c r="K153" s="1498"/>
      <c r="L153" s="1498"/>
      <c r="M153" s="1498"/>
      <c r="N153" s="1498"/>
      <c r="O153" s="1498"/>
      <c r="P153" s="1498"/>
      <c r="Q153" s="1498"/>
      <c r="R153" s="1498"/>
      <c r="S153" s="1498"/>
      <c r="T153" s="1498"/>
      <c r="U153" s="590"/>
    </row>
    <row r="154" spans="1:21" s="185" customFormat="1" ht="37.5" customHeight="1" x14ac:dyDescent="0.25">
      <c r="A154" s="613"/>
      <c r="B154" s="678"/>
      <c r="C154" s="1412" t="str">
        <f>IF(IVD,"may file an action in Superior Court to adjust the support amount in accordance with the Arizona Child Support Guidelines.","")</f>
        <v/>
      </c>
      <c r="D154" s="1498"/>
      <c r="E154" s="1498"/>
      <c r="F154" s="1498"/>
      <c r="G154" s="1498"/>
      <c r="H154" s="1498"/>
      <c r="I154" s="1498"/>
      <c r="J154" s="1498"/>
      <c r="K154" s="1498"/>
      <c r="L154" s="1498"/>
      <c r="M154" s="1498"/>
      <c r="N154" s="1498"/>
      <c r="O154" s="1498"/>
      <c r="P154" s="1498"/>
      <c r="Q154" s="1498"/>
      <c r="R154" s="1498"/>
      <c r="S154" s="1498"/>
      <c r="T154" s="1498"/>
      <c r="U154" s="590"/>
    </row>
    <row r="155" spans="1:21" ht="12.75" customHeight="1" x14ac:dyDescent="0.25">
      <c r="A155" s="613"/>
      <c r="B155" s="805" t="str">
        <f>IF(AND(B152="17.",C155="Cash Medical Support."),"18.",IF(AND(B152="",C155="Cash Medical Support."),"17.",""))</f>
        <v/>
      </c>
      <c r="C155" s="1431" t="str">
        <f>IF(AND(NOT(ISBLANK(Worksheet!G257)),OR(NOT(ISBLANK(Worksheet!M49)),NOT(ISBLANK(Worksheet!J49)))),"Cash Medical Support.","")</f>
        <v/>
      </c>
      <c r="D155" s="950"/>
      <c r="E155" s="950"/>
      <c r="F155" s="950"/>
      <c r="G155" s="950"/>
      <c r="H155" s="1554" t="str">
        <f>IF(AND(NOT(ISBLANK(Worksheet!G257)),Worksheet!U47=1,OR(NOT(ISBLANK(Worksheet!M49)),NOT(ISBLANK(Worksheet!J49)))),"In the event the child is not covered under a medical insurance plan within",IF(AND(NOT(ISBLANK(Worksheet!G257)),Worksheet!U47&gt;1,OR(NOT(ISBLANK(Worksheet!M49)),NOT(ISBLANK(Worksheet!J49)))),"In the event the children are not covered under a medical insurance plan within",""))</f>
        <v/>
      </c>
      <c r="I155" s="950"/>
      <c r="J155" s="950"/>
      <c r="K155" s="950"/>
      <c r="L155" s="950"/>
      <c r="M155" s="950"/>
      <c r="N155" s="950"/>
      <c r="O155" s="950"/>
      <c r="P155" s="950"/>
      <c r="Q155" s="950"/>
      <c r="R155" s="950"/>
      <c r="S155" s="950"/>
      <c r="T155" s="950"/>
      <c r="U155" s="590"/>
    </row>
    <row r="156" spans="1:21" s="220" customFormat="1" ht="12.75" customHeight="1" x14ac:dyDescent="0.25">
      <c r="A156" s="613"/>
      <c r="B156" s="806"/>
      <c r="C156" s="807" t="str">
        <f>IF(AND(NOT(ISBLANK(Worksheet!G257)),NOT(ISBLANK(Worksheet!M49))),"90 days of the entry of this order, Parent A shall pay to Parent B the additional sum of",IF(AND(NOT(ISBLANK(Worksheet!G257)),NOT(ISBLANK(Worksheet!J49))),"90 days of the entry of this order, Parent B shall pay to Parent A the additional sum of",""))</f>
        <v/>
      </c>
      <c r="D156" s="674"/>
      <c r="E156" s="674"/>
      <c r="F156" s="674"/>
      <c r="G156" s="674"/>
      <c r="H156" s="674"/>
      <c r="I156" s="674"/>
      <c r="J156" s="674"/>
      <c r="K156" s="674"/>
      <c r="L156" s="674"/>
      <c r="M156" s="674"/>
      <c r="N156" s="674"/>
      <c r="O156" s="674"/>
      <c r="P156" s="674"/>
      <c r="Q156" s="590"/>
      <c r="R156" s="1519" t="str">
        <f>IF(AND(NOT(ISBLANK(Worksheet!G257)),OR(NOT(ISBLANK(Worksheet!M49)),NOT(ISBLANK(Worksheet!J49)))),Worksheet!H258,"")</f>
        <v/>
      </c>
      <c r="S156" s="1519"/>
      <c r="T156" s="1519"/>
      <c r="U156" s="590"/>
    </row>
    <row r="157" spans="1:21" s="220" customFormat="1" ht="12.75" customHeight="1" x14ac:dyDescent="0.25">
      <c r="A157" s="613"/>
      <c r="B157" s="805"/>
      <c r="C157" s="1554" t="str">
        <f>IF(AND(NOT(ISBLANK(Worksheet!G257)),OR(NOT(ISBLANK(Worksheet!M49)),NOT(ISBLANK(Worksheet!J49)))),"per month for cash medical support, payble on the first (1st) day of each month commencing","")</f>
        <v/>
      </c>
      <c r="D157" s="1452"/>
      <c r="E157" s="1452"/>
      <c r="F157" s="1452"/>
      <c r="G157" s="1452"/>
      <c r="H157" s="1452"/>
      <c r="I157" s="1452"/>
      <c r="J157" s="1452"/>
      <c r="K157" s="1452"/>
      <c r="L157" s="950"/>
      <c r="M157" s="950"/>
      <c r="N157" s="950"/>
      <c r="O157" s="950"/>
      <c r="P157" s="950"/>
      <c r="Q157" s="950"/>
      <c r="R157" s="950"/>
      <c r="S157" s="347"/>
      <c r="T157" s="347"/>
      <c r="U157" s="590"/>
    </row>
    <row r="158" spans="1:21" s="220" customFormat="1" ht="12.75" customHeight="1" x14ac:dyDescent="0.25">
      <c r="A158" s="613"/>
      <c r="B158" s="805"/>
      <c r="C158" s="1552" t="str">
        <f>IF(AND(NOT(ISBLANK(Worksheet!G257)),Worksheet!H259="x",OR(NOT(ISBLANK(Worksheet!M49)),NOT(ISBLANK(Worksheet!J49)))),Worksheet!T259,IF(AND(NOT(ISBLANK(Worksheet!G257)),Worksheet!H260="x",OR(NOT(ISBLANK(Worksheet!M49)),NOT(ISBLANK(Worksheet!J49)))),Worksheet!T260,""))</f>
        <v/>
      </c>
      <c r="D158" s="1552"/>
      <c r="E158" s="1552"/>
      <c r="F158" s="1552"/>
      <c r="G158" s="1555"/>
      <c r="H158" s="1452" t="str">
        <f>IF(AND(NOT(ISBLANK(Worksheet!G257)),Worksheet!U47=1,OR(NOT(ISBLANK(Worksheet!M49)),NOT(ISBLANK(Worksheet!J49)))),"and continuing thereafter during periods when the child is not ",IF(AND(NOT(ISBLANK(Worksheet!G257)),Worksheet!U47&gt;1,OR(NOT(ISBLANK(Worksheet!M49)),NOT(ISBLANK(Worksheet!J49)))),"and continuing thereafter during periods when the children are not ",""))</f>
        <v/>
      </c>
      <c r="I158" s="950"/>
      <c r="J158" s="950"/>
      <c r="K158" s="950"/>
      <c r="L158" s="950"/>
      <c r="M158" s="950"/>
      <c r="N158" s="950"/>
      <c r="O158" s="950"/>
      <c r="P158" s="950"/>
      <c r="Q158" s="950"/>
      <c r="R158" s="950"/>
      <c r="S158" s="950"/>
      <c r="T158" s="950"/>
      <c r="U158" s="590"/>
    </row>
    <row r="159" spans="1:21" s="220" customFormat="1" ht="12.75" customHeight="1" x14ac:dyDescent="0.25">
      <c r="A159" s="613"/>
      <c r="B159" s="805"/>
      <c r="C159" s="1556" t="str">
        <f>IF(AND(NOT(ISBLANK(Worksheet!G257)),OR(NOT(ISBLANK(Worksheet!M49)),NOT(ISBLANK(Worksheet!J49)))),"covered under a medical insurance plan in accordance with the provisions of A.R.S. §25-320(K).","")</f>
        <v/>
      </c>
      <c r="D159" s="951"/>
      <c r="E159" s="951"/>
      <c r="F159" s="951"/>
      <c r="G159" s="951"/>
      <c r="H159" s="951"/>
      <c r="I159" s="951"/>
      <c r="J159" s="951"/>
      <c r="K159" s="951"/>
      <c r="L159" s="951"/>
      <c r="M159" s="951"/>
      <c r="N159" s="951"/>
      <c r="O159" s="951"/>
      <c r="P159" s="951"/>
      <c r="Q159" s="951"/>
      <c r="R159" s="951"/>
      <c r="S159" s="951"/>
      <c r="T159" s="951"/>
      <c r="U159" s="590"/>
    </row>
    <row r="160" spans="1:21" s="220" customFormat="1" ht="12.75" customHeight="1" x14ac:dyDescent="0.25">
      <c r="A160" s="613"/>
      <c r="B160" s="806"/>
      <c r="C160" s="345"/>
      <c r="D160" s="345"/>
      <c r="E160" s="345"/>
      <c r="F160" s="345"/>
      <c r="G160" s="346"/>
      <c r="H160" s="666"/>
      <c r="I160" s="666"/>
      <c r="J160" s="666"/>
      <c r="K160" s="666"/>
      <c r="L160" s="593"/>
      <c r="M160" s="593"/>
      <c r="N160" s="593"/>
      <c r="O160" s="593"/>
      <c r="P160" s="593"/>
      <c r="Q160" s="590"/>
      <c r="R160" s="590"/>
      <c r="S160" s="590"/>
      <c r="T160" s="666"/>
      <c r="U160" s="590"/>
    </row>
    <row r="161" spans="1:39" s="220" customFormat="1" ht="66" customHeight="1" x14ac:dyDescent="0.25">
      <c r="A161" s="613"/>
      <c r="B161" s="806" t="str">
        <f>IF(AND(B152="17.",B155="18.",NOT(ISBLANK(Worksheet!E175))),"19.",IF(AND(NOT(ISBLANK(Worksheet!E175)),OR(B152="17.",B155="17.")),"18.",IF(AND(B152="",NOT(ISBLANK(Worksheet!E175))),"17.","")))</f>
        <v>17.</v>
      </c>
      <c r="C161" s="1557" t="str">
        <f>IF(ISBLANK(Worksheet!E175),"",Worksheet!E175)</f>
        <v>Even though the court’s judgment contains orders that may impact federal taxes, these orders are not binding on the IRS.</v>
      </c>
      <c r="D161" s="1456"/>
      <c r="E161" s="1456"/>
      <c r="F161" s="1456"/>
      <c r="G161" s="1456"/>
      <c r="H161" s="1456"/>
      <c r="I161" s="1456"/>
      <c r="J161" s="1456"/>
      <c r="K161" s="1456"/>
      <c r="L161" s="1456"/>
      <c r="M161" s="1456"/>
      <c r="N161" s="1456"/>
      <c r="O161" s="1456"/>
      <c r="P161" s="1456"/>
      <c r="Q161" s="1456"/>
      <c r="R161" s="1456"/>
      <c r="S161" s="1456"/>
      <c r="T161" s="1456"/>
      <c r="U161" s="590"/>
      <c r="V161" s="592"/>
      <c r="W161" s="592"/>
      <c r="X161" s="592"/>
      <c r="Y161" s="592"/>
      <c r="Z161" s="592"/>
      <c r="AA161" s="592"/>
      <c r="AB161" s="592"/>
      <c r="AC161" s="592"/>
      <c r="AD161" s="592"/>
      <c r="AE161" s="592"/>
      <c r="AF161" s="592"/>
      <c r="AG161" s="592"/>
      <c r="AH161" s="592"/>
      <c r="AI161" s="592"/>
      <c r="AJ161" s="592"/>
      <c r="AK161" s="592"/>
      <c r="AL161" s="592"/>
      <c r="AM161" s="592"/>
    </row>
    <row r="162" spans="1:39" ht="12.75" customHeight="1" x14ac:dyDescent="0.25">
      <c r="A162" s="613"/>
      <c r="B162" s="1523" t="str">
        <f>IF(Stipulation,"Stipulation.","")</f>
        <v/>
      </c>
      <c r="C162" s="1523"/>
      <c r="D162" s="1400"/>
      <c r="E162" s="1390" t="str">
        <f>IF(Stipulation,"If Stipulation both parties agree to the entry of this order. Signature by both Parties (if applicable): ","")</f>
        <v/>
      </c>
      <c r="F162" s="1517"/>
      <c r="G162" s="1517"/>
      <c r="H162" s="1517"/>
      <c r="I162" s="1517"/>
      <c r="J162" s="1517"/>
      <c r="K162" s="1517"/>
      <c r="L162" s="1517"/>
      <c r="M162" s="1517"/>
      <c r="N162" s="1517"/>
      <c r="O162" s="1517"/>
      <c r="P162" s="1517"/>
      <c r="Q162" s="1517"/>
      <c r="R162" s="1517"/>
      <c r="S162" s="1517"/>
      <c r="T162" s="1517"/>
      <c r="U162" s="590"/>
      <c r="V162" s="592"/>
      <c r="W162" s="592"/>
      <c r="X162" s="592"/>
      <c r="Y162" s="592"/>
      <c r="Z162" s="592"/>
      <c r="AA162" s="592"/>
      <c r="AB162" s="592"/>
      <c r="AC162" s="592"/>
      <c r="AD162" s="592"/>
      <c r="AE162" s="592"/>
      <c r="AF162" s="592"/>
      <c r="AG162" s="592"/>
      <c r="AH162" s="592"/>
      <c r="AI162" s="592"/>
      <c r="AJ162" s="592"/>
      <c r="AK162" s="592"/>
      <c r="AL162" s="592"/>
      <c r="AM162" s="592"/>
    </row>
    <row r="163" spans="1:39" s="406" customFormat="1" ht="25.65" customHeight="1" x14ac:dyDescent="0.25">
      <c r="A163" s="613"/>
      <c r="B163" s="1192" t="str">
        <f>IF(Stipulation,"By signing this document, we state to the Court under penalty of perjury that we read and agree to this Court Order, and that all information contained in it is true, correct, and complete to the best of our knowledge and belief.","")</f>
        <v/>
      </c>
      <c r="C163" s="1192"/>
      <c r="D163" s="1192"/>
      <c r="E163" s="1192"/>
      <c r="F163" s="1192"/>
      <c r="G163" s="1192"/>
      <c r="H163" s="1192"/>
      <c r="I163" s="1192"/>
      <c r="J163" s="1192"/>
      <c r="K163" s="1192"/>
      <c r="L163" s="1192"/>
      <c r="M163" s="1192"/>
      <c r="N163" s="1192"/>
      <c r="O163" s="1192"/>
      <c r="P163" s="1192"/>
      <c r="Q163" s="1192"/>
      <c r="R163" s="1192"/>
      <c r="S163" s="1192"/>
      <c r="T163" s="1192"/>
      <c r="U163" s="590"/>
      <c r="V163" s="694"/>
      <c r="W163" s="694"/>
      <c r="X163" s="694"/>
      <c r="Y163" s="694"/>
      <c r="Z163" s="694"/>
      <c r="AA163" s="694"/>
      <c r="AB163" s="694"/>
      <c r="AC163" s="694"/>
      <c r="AD163" s="694"/>
      <c r="AE163" s="694"/>
      <c r="AF163" s="694"/>
      <c r="AG163" s="694"/>
      <c r="AH163" s="694"/>
      <c r="AI163" s="694"/>
      <c r="AJ163" s="694"/>
      <c r="AK163" s="694"/>
      <c r="AL163" s="694"/>
      <c r="AM163" s="694"/>
    </row>
    <row r="164" spans="1:39" ht="36" customHeight="1" x14ac:dyDescent="0.25">
      <c r="A164" s="613"/>
      <c r="B164" s="1414" t="str">
        <f>IF(Stipulation," ","")</f>
        <v/>
      </c>
      <c r="C164" s="1414"/>
      <c r="D164" s="1414"/>
      <c r="E164" s="1414"/>
      <c r="F164" s="1414"/>
      <c r="G164" s="1414"/>
      <c r="H164" s="1414"/>
      <c r="I164" s="1414"/>
      <c r="J164" s="1414"/>
      <c r="K164" s="701"/>
      <c r="L164" s="1414" t="str">
        <f>IF(Stipulation," ","")</f>
        <v/>
      </c>
      <c r="M164" s="1414"/>
      <c r="N164" s="1414"/>
      <c r="O164" s="1414"/>
      <c r="P164" s="1414"/>
      <c r="Q164" s="1414"/>
      <c r="R164" s="1414"/>
      <c r="S164" s="1414"/>
      <c r="T164" s="1414"/>
      <c r="U164" s="242"/>
      <c r="V164" s="592"/>
      <c r="W164" s="592"/>
      <c r="X164" s="592"/>
      <c r="Y164" s="592"/>
      <c r="Z164" s="592"/>
      <c r="AA164" s="592"/>
      <c r="AB164" s="592"/>
      <c r="AC164" s="592"/>
      <c r="AD164" s="592"/>
      <c r="AE164" s="592"/>
      <c r="AF164" s="592"/>
      <c r="AG164" s="592"/>
      <c r="AH164" s="592"/>
      <c r="AI164" s="592"/>
      <c r="AJ164" s="592"/>
      <c r="AK164" s="592"/>
      <c r="AL164" s="592"/>
      <c r="AM164" s="592"/>
    </row>
    <row r="165" spans="1:39" x14ac:dyDescent="0.25">
      <c r="A165" s="613"/>
      <c r="B165" s="1494" t="str">
        <f>IF(Stipulation,Petitioner,"")</f>
        <v/>
      </c>
      <c r="C165" s="1495"/>
      <c r="D165" s="1495"/>
      <c r="E165" s="1495"/>
      <c r="F165" s="1495"/>
      <c r="G165" s="1495"/>
      <c r="H165" s="1494" t="str">
        <f>IF(Stipulation,"Date","")</f>
        <v/>
      </c>
      <c r="I165" s="1495"/>
      <c r="J165" s="1495"/>
      <c r="K165" s="808"/>
      <c r="L165" s="1494" t="str">
        <f>IF(Stipulation,Respondent,"")</f>
        <v/>
      </c>
      <c r="M165" s="1495"/>
      <c r="N165" s="1495"/>
      <c r="O165" s="1495"/>
      <c r="P165" s="1495"/>
      <c r="Q165" s="1495"/>
      <c r="R165" s="1494" t="str">
        <f>IF(Stipulation,"Date","")</f>
        <v/>
      </c>
      <c r="S165" s="1495"/>
      <c r="T165" s="1495"/>
      <c r="U165" s="590"/>
      <c r="V165" s="592"/>
      <c r="W165" s="592"/>
      <c r="X165" s="592"/>
      <c r="Y165" s="592"/>
      <c r="Z165" s="592"/>
      <c r="AA165" s="592"/>
      <c r="AB165" s="592"/>
      <c r="AC165" s="592"/>
      <c r="AD165" s="592"/>
      <c r="AE165" s="592"/>
      <c r="AF165" s="592"/>
      <c r="AG165" s="592"/>
      <c r="AH165" s="592"/>
      <c r="AI165" s="592"/>
      <c r="AJ165" s="592"/>
      <c r="AK165" s="592"/>
      <c r="AL165" s="592"/>
      <c r="AM165" s="592"/>
    </row>
    <row r="166" spans="1:39" ht="36" customHeight="1" x14ac:dyDescent="0.25">
      <c r="A166" s="613"/>
      <c r="B166" s="1544" t="str">
        <f>IF(AND(Stipulation,NOT(ISBLANK(Worksheet!I177)))," ","")</f>
        <v/>
      </c>
      <c r="C166" s="1545"/>
      <c r="D166" s="1545"/>
      <c r="E166" s="1545"/>
      <c r="F166" s="1545"/>
      <c r="G166" s="1545"/>
      <c r="H166" s="1545"/>
      <c r="I166" s="1545"/>
      <c r="J166" s="1545"/>
      <c r="K166" s="797"/>
      <c r="L166" s="1544" t="str">
        <f>IF(AND(Stipulation,NOT(ISBLANK(Worksheet!I177)))," ","")</f>
        <v/>
      </c>
      <c r="M166" s="1545"/>
      <c r="N166" s="1545"/>
      <c r="O166" s="1545"/>
      <c r="P166" s="1545"/>
      <c r="Q166" s="1545"/>
      <c r="R166" s="1545"/>
      <c r="S166" s="1545"/>
      <c r="T166" s="1545"/>
      <c r="U166" s="590"/>
      <c r="V166" s="592"/>
      <c r="W166" s="592"/>
      <c r="X166" s="592"/>
      <c r="Y166" s="592"/>
      <c r="Z166" s="592"/>
      <c r="AA166" s="592"/>
      <c r="AB166" s="592"/>
      <c r="AC166" s="592"/>
      <c r="AD166" s="592"/>
      <c r="AE166" s="592"/>
      <c r="AF166" s="592"/>
      <c r="AG166" s="592"/>
      <c r="AH166" s="592"/>
      <c r="AI166" s="592"/>
      <c r="AJ166" s="592"/>
      <c r="AK166" s="592"/>
      <c r="AL166" s="592"/>
      <c r="AM166" s="592"/>
    </row>
    <row r="167" spans="1:39" ht="42" customHeight="1" x14ac:dyDescent="0.25">
      <c r="A167" s="613"/>
      <c r="B167" s="1494" t="str">
        <f>IF(AND(Stipulation,NOT(ISBLANK(Worksheet!I177))),"Petitioner's Attorney","")</f>
        <v/>
      </c>
      <c r="C167" s="1495"/>
      <c r="D167" s="1495"/>
      <c r="E167" s="1495"/>
      <c r="F167" s="1495"/>
      <c r="G167" s="1495"/>
      <c r="H167" s="1494" t="str">
        <f>IF(AND(Stipulation,NOT(ISBLANK(Worksheet!I177))),"Date","")</f>
        <v/>
      </c>
      <c r="I167" s="1495"/>
      <c r="J167" s="1495"/>
      <c r="K167" s="808"/>
      <c r="L167" s="1494" t="str">
        <f>IF(AND(Stipulation,NOT(ISBLANK(Worksheet!I177))),"Respondent's Attorney","")</f>
        <v/>
      </c>
      <c r="M167" s="1526"/>
      <c r="N167" s="1526"/>
      <c r="O167" s="1526"/>
      <c r="P167" s="1526"/>
      <c r="Q167" s="1526"/>
      <c r="R167" s="1525" t="str">
        <f>IF(AND(Stipulation,NOT(ISBLANK(Worksheet!I177))),"Date","")</f>
        <v/>
      </c>
      <c r="S167" s="1526"/>
      <c r="T167" s="1526"/>
      <c r="U167" s="590"/>
      <c r="V167" s="592"/>
      <c r="W167" s="592"/>
      <c r="X167" s="592"/>
      <c r="Y167" s="592"/>
      <c r="Z167" s="592"/>
      <c r="AA167" s="592"/>
      <c r="AB167" s="592"/>
      <c r="AC167" s="592"/>
      <c r="AD167" s="592"/>
      <c r="AE167" s="592"/>
      <c r="AF167" s="592"/>
      <c r="AG167" s="592"/>
      <c r="AH167" s="592"/>
      <c r="AI167" s="592"/>
      <c r="AJ167" s="592"/>
      <c r="AK167" s="592"/>
      <c r="AL167" s="592"/>
      <c r="AM167" s="592"/>
    </row>
    <row r="168" spans="1:39" x14ac:dyDescent="0.25">
      <c r="A168" s="613"/>
      <c r="B168" s="1550">
        <f ca="1">OrderDate</f>
        <v>44925</v>
      </c>
      <c r="C168" s="1550"/>
      <c r="D168" s="1550"/>
      <c r="E168" s="1550"/>
      <c r="F168" s="1550"/>
      <c r="G168" s="1550"/>
      <c r="H168" s="1550"/>
      <c r="I168" s="1550"/>
      <c r="J168" s="1550"/>
      <c r="K168" s="809"/>
      <c r="L168" s="1539"/>
      <c r="M168" s="1540"/>
      <c r="N168" s="1540"/>
      <c r="O168" s="1540"/>
      <c r="P168" s="1540"/>
      <c r="Q168" s="1540"/>
      <c r="R168" s="1540"/>
      <c r="S168" s="1540"/>
      <c r="T168" s="1540"/>
      <c r="U168" s="590"/>
      <c r="V168" s="592"/>
      <c r="W168" s="592"/>
      <c r="X168" s="592"/>
      <c r="Y168" s="592"/>
      <c r="Z168" s="592"/>
      <c r="AA168" s="592"/>
      <c r="AB168" s="592"/>
      <c r="AC168" s="592"/>
      <c r="AD168" s="592"/>
      <c r="AE168" s="592"/>
      <c r="AF168" s="592"/>
      <c r="AG168" s="592"/>
      <c r="AH168" s="592"/>
      <c r="AI168" s="592"/>
      <c r="AJ168" s="592"/>
      <c r="AK168" s="592"/>
      <c r="AL168" s="592"/>
      <c r="AM168" s="592"/>
    </row>
    <row r="169" spans="1:39" ht="12.75" customHeight="1" x14ac:dyDescent="0.25">
      <c r="A169" s="613"/>
      <c r="B169" s="1538" t="s">
        <v>310</v>
      </c>
      <c r="C169" s="1538"/>
      <c r="D169" s="810"/>
      <c r="E169" s="765"/>
      <c r="F169" s="797"/>
      <c r="G169" s="797"/>
      <c r="H169" s="790"/>
      <c r="I169" s="790"/>
      <c r="J169" s="790"/>
      <c r="K169" s="790"/>
      <c r="L169" s="1546" t="str">
        <f>IF(NOT(ISBLANK(Worksheet!Q184)),Worksheet!Q184,Worksheet!Q183)</f>
        <v>Judicial Officer</v>
      </c>
      <c r="M169" s="1547"/>
      <c r="N169" s="1547"/>
      <c r="O169" s="1547"/>
      <c r="P169" s="1547"/>
      <c r="Q169" s="1547"/>
      <c r="R169" s="1547"/>
      <c r="S169" s="1547"/>
      <c r="T169" s="1547"/>
      <c r="U169" s="590"/>
      <c r="V169" s="592"/>
      <c r="W169" s="592"/>
      <c r="X169" s="592"/>
      <c r="Y169" s="592"/>
      <c r="Z169" s="592"/>
      <c r="AA169" s="592"/>
      <c r="AB169" s="592"/>
      <c r="AC169" s="592"/>
      <c r="AD169" s="592"/>
      <c r="AE169" s="592"/>
      <c r="AF169" s="592"/>
      <c r="AG169" s="592"/>
      <c r="AH169" s="592"/>
      <c r="AI169" s="592"/>
      <c r="AJ169" s="592"/>
      <c r="AK169" s="592"/>
      <c r="AL169" s="592"/>
      <c r="AM169" s="592"/>
    </row>
    <row r="170" spans="1:39" x14ac:dyDescent="0.25">
      <c r="A170" s="194"/>
      <c r="B170" s="202"/>
      <c r="C170" s="785"/>
      <c r="D170" s="797"/>
      <c r="E170" s="797"/>
      <c r="F170" s="263"/>
      <c r="G170" s="263"/>
      <c r="H170" s="797"/>
      <c r="I170" s="797"/>
      <c r="J170" s="797"/>
      <c r="K170" s="797"/>
      <c r="L170" s="797"/>
      <c r="M170" s="797"/>
      <c r="N170" s="797"/>
      <c r="O170" s="797"/>
      <c r="P170" s="797"/>
      <c r="Q170" s="797"/>
      <c r="R170" s="797"/>
      <c r="S170" s="797"/>
      <c r="T170" s="797"/>
      <c r="U170" s="590"/>
      <c r="V170" s="592"/>
      <c r="W170" s="592"/>
      <c r="X170" s="592"/>
      <c r="Y170" s="592"/>
      <c r="Z170" s="592"/>
      <c r="AA170" s="592"/>
      <c r="AB170" s="592"/>
      <c r="AC170" s="592"/>
      <c r="AD170" s="592"/>
      <c r="AE170" s="592"/>
      <c r="AF170" s="592"/>
      <c r="AG170" s="592"/>
      <c r="AH170" s="592"/>
      <c r="AI170" s="592"/>
      <c r="AJ170" s="592"/>
      <c r="AK170" s="592"/>
      <c r="AL170" s="592"/>
      <c r="AM170" s="592"/>
    </row>
    <row r="171" spans="1:39" x14ac:dyDescent="0.25">
      <c r="A171" s="592"/>
      <c r="B171" s="811"/>
      <c r="C171" s="811"/>
      <c r="D171" s="812"/>
      <c r="E171" s="812"/>
      <c r="F171" s="812"/>
      <c r="G171" s="812"/>
      <c r="H171" s="812"/>
      <c r="I171" s="812"/>
      <c r="J171" s="812"/>
      <c r="K171" s="812"/>
      <c r="L171" s="812"/>
      <c r="M171" s="812"/>
      <c r="N171" s="812"/>
      <c r="O171" s="812"/>
      <c r="P171" s="812"/>
      <c r="Q171" s="812"/>
      <c r="R171" s="812"/>
      <c r="S171" s="812"/>
      <c r="T171" s="812"/>
      <c r="U171" s="592"/>
      <c r="V171" s="592"/>
      <c r="W171" s="592"/>
      <c r="X171" s="592"/>
      <c r="Y171" s="592"/>
      <c r="Z171" s="592"/>
      <c r="AA171" s="592"/>
      <c r="AB171" s="592"/>
      <c r="AC171" s="592"/>
      <c r="AD171" s="592"/>
      <c r="AE171" s="592"/>
      <c r="AF171" s="592"/>
      <c r="AG171" s="592"/>
      <c r="AH171" s="592"/>
      <c r="AI171" s="592"/>
      <c r="AJ171" s="592"/>
      <c r="AK171" s="592"/>
      <c r="AL171" s="592"/>
      <c r="AM171" s="592"/>
    </row>
    <row r="172" spans="1:39" x14ac:dyDescent="0.25">
      <c r="A172" s="592"/>
      <c r="B172" s="811"/>
      <c r="C172" s="811"/>
      <c r="D172" s="812"/>
      <c r="E172" s="812"/>
      <c r="F172" s="812"/>
      <c r="G172" s="812"/>
      <c r="H172" s="812"/>
      <c r="I172" s="812"/>
      <c r="J172" s="812"/>
      <c r="K172" s="812"/>
      <c r="L172" s="812"/>
      <c r="M172" s="812"/>
      <c r="N172" s="812"/>
      <c r="O172" s="812"/>
      <c r="P172" s="812"/>
      <c r="Q172" s="812"/>
      <c r="R172" s="812"/>
      <c r="S172" s="812"/>
      <c r="T172" s="812"/>
      <c r="U172" s="592"/>
      <c r="V172" s="592"/>
      <c r="W172" s="592"/>
      <c r="X172" s="592"/>
      <c r="Y172" s="592"/>
      <c r="Z172" s="592"/>
      <c r="AA172" s="592"/>
      <c r="AB172" s="592"/>
      <c r="AC172" s="592"/>
      <c r="AD172" s="592"/>
      <c r="AE172" s="592"/>
      <c r="AF172" s="592"/>
      <c r="AG172" s="592"/>
      <c r="AH172" s="592"/>
      <c r="AI172" s="592"/>
      <c r="AJ172" s="592"/>
      <c r="AK172" s="592"/>
      <c r="AL172" s="592"/>
      <c r="AM172" s="592"/>
    </row>
    <row r="173" spans="1:39" x14ac:dyDescent="0.25">
      <c r="A173" s="592"/>
      <c r="B173" s="811"/>
      <c r="C173" s="811"/>
      <c r="D173" s="812"/>
      <c r="E173" s="812"/>
      <c r="F173" s="812"/>
      <c r="G173" s="812"/>
      <c r="H173" s="812"/>
      <c r="I173" s="812"/>
      <c r="J173" s="812"/>
      <c r="K173" s="812"/>
      <c r="L173" s="812"/>
      <c r="M173" s="812"/>
      <c r="N173" s="812"/>
      <c r="O173" s="812"/>
      <c r="P173" s="812"/>
      <c r="Q173" s="812"/>
      <c r="R173" s="812"/>
      <c r="S173" s="812"/>
      <c r="T173" s="812"/>
      <c r="U173" s="592"/>
      <c r="V173" s="592"/>
      <c r="W173" s="592"/>
      <c r="X173" s="592"/>
      <c r="Y173" s="592"/>
      <c r="Z173" s="592"/>
      <c r="AA173" s="592"/>
      <c r="AB173" s="592"/>
      <c r="AC173" s="592"/>
      <c r="AD173" s="592"/>
      <c r="AE173" s="592"/>
      <c r="AF173" s="592"/>
      <c r="AG173" s="592"/>
      <c r="AH173" s="592"/>
      <c r="AI173" s="592"/>
      <c r="AJ173" s="592"/>
      <c r="AK173" s="592"/>
      <c r="AL173" s="592"/>
      <c r="AM173" s="592"/>
    </row>
    <row r="174" spans="1:39" x14ac:dyDescent="0.25">
      <c r="A174" s="592"/>
      <c r="B174" s="811"/>
      <c r="C174" s="811"/>
      <c r="D174" s="812"/>
      <c r="E174" s="812"/>
      <c r="F174" s="812"/>
      <c r="G174" s="812"/>
      <c r="H174" s="812"/>
      <c r="I174" s="812"/>
      <c r="J174" s="812"/>
      <c r="K174" s="812"/>
      <c r="L174" s="812"/>
      <c r="M174" s="812"/>
      <c r="N174" s="812"/>
      <c r="O174" s="812"/>
      <c r="P174" s="812"/>
      <c r="Q174" s="812"/>
      <c r="R174" s="812"/>
      <c r="S174" s="812"/>
      <c r="T174" s="812"/>
      <c r="U174" s="592"/>
      <c r="V174" s="592"/>
      <c r="W174" s="592"/>
      <c r="X174" s="592"/>
      <c r="Y174" s="592"/>
      <c r="Z174" s="592"/>
      <c r="AA174" s="592"/>
      <c r="AB174" s="592"/>
      <c r="AC174" s="592"/>
      <c r="AD174" s="592"/>
      <c r="AE174" s="592"/>
      <c r="AF174" s="592"/>
      <c r="AG174" s="592"/>
      <c r="AH174" s="592"/>
      <c r="AI174" s="592"/>
      <c r="AJ174" s="592"/>
      <c r="AK174" s="592"/>
      <c r="AL174" s="592"/>
      <c r="AM174" s="592"/>
    </row>
    <row r="175" spans="1:39" x14ac:dyDescent="0.25">
      <c r="A175" s="592"/>
      <c r="B175" s="811"/>
      <c r="C175" s="811"/>
      <c r="D175" s="812"/>
      <c r="E175" s="812"/>
      <c r="F175" s="812"/>
      <c r="G175" s="812"/>
      <c r="H175" s="812"/>
      <c r="I175" s="812"/>
      <c r="J175" s="812"/>
      <c r="K175" s="812"/>
      <c r="L175" s="812"/>
      <c r="M175" s="812"/>
      <c r="N175" s="812"/>
      <c r="O175" s="812"/>
      <c r="P175" s="812"/>
      <c r="Q175" s="812"/>
      <c r="R175" s="812"/>
      <c r="S175" s="812"/>
      <c r="T175" s="812"/>
      <c r="U175" s="592"/>
      <c r="V175" s="592"/>
      <c r="W175" s="592"/>
      <c r="X175" s="592"/>
      <c r="Y175" s="592"/>
      <c r="Z175" s="592"/>
      <c r="AA175" s="592"/>
      <c r="AB175" s="592"/>
      <c r="AC175" s="592"/>
      <c r="AD175" s="592"/>
      <c r="AE175" s="592"/>
      <c r="AF175" s="592"/>
      <c r="AG175" s="592"/>
      <c r="AH175" s="592"/>
      <c r="AI175" s="592"/>
      <c r="AJ175" s="592"/>
      <c r="AK175" s="592"/>
      <c r="AL175" s="592"/>
      <c r="AM175" s="592"/>
    </row>
    <row r="176" spans="1:39" x14ac:dyDescent="0.25">
      <c r="A176" s="592"/>
      <c r="B176" s="811"/>
      <c r="C176" s="811"/>
      <c r="D176" s="812"/>
      <c r="E176" s="812"/>
      <c r="F176" s="812"/>
      <c r="G176" s="812"/>
      <c r="H176" s="812"/>
      <c r="I176" s="812"/>
      <c r="J176" s="812"/>
      <c r="K176" s="812"/>
      <c r="L176" s="812"/>
      <c r="M176" s="812"/>
      <c r="N176" s="812"/>
      <c r="O176" s="812"/>
      <c r="P176" s="812"/>
      <c r="Q176" s="812"/>
      <c r="R176" s="812"/>
      <c r="S176" s="812"/>
      <c r="T176" s="812"/>
      <c r="U176" s="592"/>
      <c r="V176" s="592"/>
      <c r="W176" s="592"/>
      <c r="X176" s="592"/>
      <c r="Y176" s="592"/>
      <c r="Z176" s="592"/>
      <c r="AA176" s="592"/>
      <c r="AB176" s="592"/>
      <c r="AC176" s="592"/>
      <c r="AD176" s="592"/>
      <c r="AE176" s="592"/>
      <c r="AF176" s="592"/>
      <c r="AG176" s="592"/>
      <c r="AH176" s="592"/>
      <c r="AI176" s="592"/>
      <c r="AJ176" s="592"/>
      <c r="AK176" s="592"/>
      <c r="AL176" s="592"/>
      <c r="AM176" s="592"/>
    </row>
    <row r="177" spans="2:34" x14ac:dyDescent="0.25">
      <c r="B177" s="811"/>
      <c r="C177" s="811"/>
      <c r="D177" s="812"/>
      <c r="E177" s="812"/>
      <c r="F177" s="812"/>
      <c r="G177" s="812"/>
      <c r="H177" s="812"/>
      <c r="I177" s="812"/>
      <c r="J177" s="812"/>
      <c r="K177" s="812"/>
      <c r="L177" s="812"/>
      <c r="M177" s="812"/>
      <c r="N177" s="812"/>
      <c r="O177" s="812"/>
      <c r="P177" s="812"/>
      <c r="Q177" s="812"/>
      <c r="R177" s="812"/>
      <c r="S177" s="812"/>
      <c r="T177" s="812"/>
      <c r="U177" s="592"/>
      <c r="V177" s="592"/>
      <c r="W177" s="592"/>
      <c r="X177" s="592"/>
      <c r="Y177" s="592"/>
      <c r="Z177" s="592"/>
      <c r="AA177" s="592"/>
      <c r="AB177" s="592"/>
      <c r="AC177" s="592"/>
      <c r="AD177" s="592"/>
      <c r="AE177" s="592"/>
      <c r="AF177" s="592"/>
      <c r="AG177" s="592"/>
      <c r="AH177" s="592"/>
    </row>
    <row r="178" spans="2:34" x14ac:dyDescent="0.25">
      <c r="B178" s="811"/>
      <c r="C178" s="813"/>
      <c r="D178" s="610"/>
      <c r="E178" s="610"/>
      <c r="F178" s="610"/>
      <c r="G178" s="610"/>
      <c r="H178" s="610"/>
      <c r="I178" s="610"/>
      <c r="J178" s="610"/>
      <c r="K178" s="610"/>
      <c r="L178" s="610"/>
      <c r="M178" s="610"/>
      <c r="N178" s="610"/>
      <c r="O178" s="610"/>
      <c r="P178" s="610"/>
      <c r="Q178" s="610"/>
      <c r="R178" s="610"/>
      <c r="S178" s="610"/>
      <c r="T178" s="610"/>
      <c r="U178" s="610"/>
      <c r="V178" s="610"/>
      <c r="W178" s="610"/>
      <c r="X178" s="610"/>
      <c r="Y178" s="610"/>
      <c r="Z178" s="610"/>
      <c r="AA178" s="610"/>
      <c r="AB178" s="610"/>
      <c r="AC178" s="610"/>
      <c r="AD178" s="610"/>
      <c r="AE178" s="610"/>
      <c r="AF178" s="610"/>
      <c r="AG178" s="610"/>
      <c r="AH178" s="610"/>
    </row>
    <row r="179" spans="2:34" x14ac:dyDescent="0.25">
      <c r="B179" s="811"/>
      <c r="C179" s="610"/>
      <c r="D179" s="610"/>
      <c r="E179" s="610"/>
      <c r="F179" s="610"/>
      <c r="G179" s="610"/>
      <c r="H179" s="610"/>
      <c r="I179" s="610"/>
      <c r="J179" s="610"/>
      <c r="K179" s="610"/>
      <c r="L179" s="610"/>
      <c r="M179" s="610"/>
      <c r="N179" s="610"/>
      <c r="O179" s="610"/>
      <c r="P179" s="610"/>
      <c r="Q179" s="610"/>
      <c r="R179" s="610"/>
      <c r="S179" s="610"/>
      <c r="T179" s="610"/>
      <c r="U179" s="610"/>
      <c r="V179" s="610"/>
      <c r="W179" s="610"/>
      <c r="X179" s="610"/>
      <c r="Y179" s="610"/>
      <c r="Z179" s="610"/>
      <c r="AA179" s="610"/>
      <c r="AB179" s="610"/>
      <c r="AC179" s="610"/>
      <c r="AD179" s="610"/>
      <c r="AE179" s="610"/>
      <c r="AF179" s="610"/>
      <c r="AG179" s="610"/>
      <c r="AH179" s="610"/>
    </row>
    <row r="180" spans="2:34" x14ac:dyDescent="0.25">
      <c r="B180" s="811"/>
      <c r="C180" s="610"/>
      <c r="D180" s="610"/>
      <c r="E180" s="610"/>
      <c r="F180" s="610"/>
      <c r="G180" s="610"/>
      <c r="H180" s="610"/>
      <c r="I180" s="610"/>
      <c r="J180" s="610"/>
      <c r="K180" s="610"/>
      <c r="L180" s="610"/>
      <c r="M180" s="610"/>
      <c r="N180" s="610"/>
      <c r="O180" s="610"/>
      <c r="P180" s="610"/>
      <c r="Q180" s="610"/>
      <c r="R180" s="610"/>
      <c r="S180" s="610"/>
      <c r="T180" s="610"/>
      <c r="U180" s="610"/>
      <c r="V180" s="610"/>
      <c r="W180" s="610"/>
      <c r="X180" s="610"/>
      <c r="Y180" s="610"/>
      <c r="Z180" s="610"/>
      <c r="AA180" s="610"/>
      <c r="AB180" s="610"/>
      <c r="AC180" s="610"/>
      <c r="AD180" s="610"/>
      <c r="AE180" s="610"/>
      <c r="AF180" s="610"/>
      <c r="AG180" s="610"/>
      <c r="AH180" s="610"/>
    </row>
    <row r="181" spans="2:34" x14ac:dyDescent="0.25">
      <c r="B181" s="811"/>
      <c r="C181" s="610"/>
      <c r="D181" s="610"/>
      <c r="E181" s="610"/>
      <c r="F181" s="610"/>
      <c r="G181" s="610"/>
      <c r="H181" s="610"/>
      <c r="I181" s="610"/>
      <c r="J181" s="610"/>
      <c r="K181" s="610"/>
      <c r="L181" s="610"/>
      <c r="M181" s="610"/>
      <c r="N181" s="610"/>
      <c r="O181" s="610"/>
      <c r="P181" s="610"/>
      <c r="Q181" s="610"/>
      <c r="R181" s="610"/>
      <c r="S181" s="610"/>
      <c r="T181" s="610"/>
      <c r="U181" s="610"/>
      <c r="V181" s="610"/>
      <c r="W181" s="610"/>
      <c r="X181" s="610"/>
      <c r="Y181" s="610"/>
      <c r="Z181" s="610"/>
      <c r="AA181" s="610"/>
      <c r="AB181" s="610"/>
      <c r="AC181" s="610"/>
      <c r="AD181" s="610"/>
      <c r="AE181" s="610"/>
      <c r="AF181" s="610"/>
      <c r="AG181" s="610"/>
      <c r="AH181" s="610"/>
    </row>
    <row r="182" spans="2:34" x14ac:dyDescent="0.25">
      <c r="B182" s="811"/>
      <c r="C182" s="610"/>
      <c r="D182" s="610"/>
      <c r="E182" s="610"/>
      <c r="F182" s="610"/>
      <c r="G182" s="610"/>
      <c r="H182" s="610"/>
      <c r="I182" s="610"/>
      <c r="J182" s="610"/>
      <c r="K182" s="610"/>
      <c r="L182" s="610"/>
      <c r="M182" s="610"/>
      <c r="N182" s="610"/>
      <c r="O182" s="610"/>
      <c r="P182" s="610"/>
      <c r="Q182" s="610"/>
      <c r="R182" s="610"/>
      <c r="S182" s="610"/>
      <c r="T182" s="610"/>
      <c r="U182" s="610"/>
      <c r="V182" s="610"/>
      <c r="W182" s="610"/>
      <c r="X182" s="610"/>
      <c r="Y182" s="610"/>
      <c r="Z182" s="610"/>
      <c r="AA182" s="610"/>
      <c r="AB182" s="610"/>
      <c r="AC182" s="610"/>
      <c r="AD182" s="610"/>
      <c r="AE182" s="610"/>
      <c r="AF182" s="610"/>
      <c r="AG182" s="610"/>
      <c r="AH182" s="610"/>
    </row>
    <row r="183" spans="2:34" x14ac:dyDescent="0.25">
      <c r="B183" s="811"/>
      <c r="C183" s="610"/>
      <c r="D183" s="610"/>
      <c r="E183" s="610"/>
      <c r="F183" s="610"/>
      <c r="G183" s="610"/>
      <c r="H183" s="610"/>
      <c r="I183" s="610"/>
      <c r="J183" s="610"/>
      <c r="K183" s="610"/>
      <c r="L183" s="610"/>
      <c r="M183" s="610"/>
      <c r="N183" s="610"/>
      <c r="O183" s="610"/>
      <c r="P183" s="610"/>
      <c r="Q183" s="610"/>
      <c r="R183" s="610"/>
      <c r="S183" s="610"/>
      <c r="T183" s="610"/>
      <c r="U183" s="610"/>
      <c r="V183" s="610"/>
      <c r="W183" s="610"/>
      <c r="X183" s="610"/>
      <c r="Y183" s="610"/>
      <c r="Z183" s="610"/>
      <c r="AA183" s="610"/>
      <c r="AB183" s="610"/>
      <c r="AC183" s="610"/>
      <c r="AD183" s="610"/>
      <c r="AE183" s="610"/>
      <c r="AF183" s="610"/>
      <c r="AG183" s="610"/>
      <c r="AH183" s="610"/>
    </row>
    <row r="184" spans="2:34" x14ac:dyDescent="0.25">
      <c r="B184" s="811"/>
      <c r="C184" s="610"/>
      <c r="D184" s="610"/>
      <c r="E184" s="610"/>
      <c r="F184" s="610"/>
      <c r="G184" s="610"/>
      <c r="H184" s="610"/>
      <c r="I184" s="610"/>
      <c r="J184" s="610"/>
      <c r="K184" s="610"/>
      <c r="L184" s="610"/>
      <c r="M184" s="610"/>
      <c r="N184" s="610"/>
      <c r="O184" s="610"/>
      <c r="P184" s="610"/>
      <c r="Q184" s="610"/>
      <c r="R184" s="610"/>
      <c r="S184" s="610"/>
      <c r="T184" s="610"/>
      <c r="U184" s="610"/>
      <c r="V184" s="610"/>
      <c r="W184" s="610"/>
      <c r="X184" s="610"/>
      <c r="Y184" s="610"/>
      <c r="Z184" s="610"/>
      <c r="AA184" s="610"/>
      <c r="AB184" s="610"/>
      <c r="AC184" s="610"/>
      <c r="AD184" s="610"/>
      <c r="AE184" s="610"/>
      <c r="AF184" s="610"/>
      <c r="AG184" s="610"/>
      <c r="AH184" s="610"/>
    </row>
    <row r="185" spans="2:34" x14ac:dyDescent="0.25">
      <c r="B185" s="811"/>
      <c r="C185" s="610"/>
      <c r="D185" s="610"/>
      <c r="E185" s="610"/>
      <c r="F185" s="610"/>
      <c r="G185" s="610"/>
      <c r="H185" s="610"/>
      <c r="I185" s="610"/>
      <c r="J185" s="610"/>
      <c r="K185" s="610"/>
      <c r="L185" s="610"/>
      <c r="M185" s="610"/>
      <c r="N185" s="610"/>
      <c r="O185" s="610"/>
      <c r="P185" s="610"/>
      <c r="Q185" s="610"/>
      <c r="R185" s="610"/>
      <c r="S185" s="610"/>
      <c r="T185" s="610"/>
      <c r="U185" s="610"/>
      <c r="V185" s="610"/>
      <c r="W185" s="610"/>
      <c r="X185" s="610"/>
      <c r="Y185" s="610"/>
      <c r="Z185" s="610"/>
      <c r="AA185" s="610"/>
      <c r="AB185" s="610"/>
      <c r="AC185" s="610"/>
      <c r="AD185" s="610"/>
      <c r="AE185" s="610"/>
      <c r="AF185" s="610"/>
      <c r="AG185" s="610"/>
      <c r="AH185" s="610"/>
    </row>
    <row r="186" spans="2:34" x14ac:dyDescent="0.25">
      <c r="B186" s="811"/>
      <c r="C186" s="610"/>
      <c r="D186" s="610"/>
      <c r="E186" s="610"/>
      <c r="F186" s="610"/>
      <c r="G186" s="610"/>
      <c r="H186" s="610"/>
      <c r="I186" s="610"/>
      <c r="J186" s="610"/>
      <c r="K186" s="610"/>
      <c r="L186" s="610"/>
      <c r="M186" s="610"/>
      <c r="N186" s="610"/>
      <c r="O186" s="610"/>
      <c r="P186" s="610"/>
      <c r="Q186" s="610"/>
      <c r="R186" s="610"/>
      <c r="S186" s="610"/>
      <c r="T186" s="610"/>
      <c r="U186" s="610"/>
      <c r="V186" s="610"/>
      <c r="W186" s="610"/>
      <c r="X186" s="610"/>
      <c r="Y186" s="610"/>
      <c r="Z186" s="610"/>
      <c r="AA186" s="610"/>
      <c r="AB186" s="610"/>
      <c r="AC186" s="610"/>
      <c r="AD186" s="610"/>
      <c r="AE186" s="610"/>
      <c r="AF186" s="610"/>
      <c r="AG186" s="610"/>
      <c r="AH186" s="610"/>
    </row>
    <row r="187" spans="2:34" x14ac:dyDescent="0.25">
      <c r="B187" s="811"/>
      <c r="C187" s="610"/>
      <c r="D187" s="610"/>
      <c r="E187" s="610"/>
      <c r="F187" s="610"/>
      <c r="G187" s="610"/>
      <c r="H187" s="610"/>
      <c r="I187" s="610"/>
      <c r="J187" s="610"/>
      <c r="K187" s="610"/>
      <c r="L187" s="610"/>
      <c r="M187" s="610"/>
      <c r="N187" s="610"/>
      <c r="O187" s="610"/>
      <c r="P187" s="610"/>
      <c r="Q187" s="610"/>
      <c r="R187" s="610"/>
      <c r="S187" s="610"/>
      <c r="T187" s="610"/>
      <c r="U187" s="610"/>
      <c r="V187" s="610"/>
      <c r="W187" s="610"/>
      <c r="X187" s="610"/>
      <c r="Y187" s="610"/>
      <c r="Z187" s="610"/>
      <c r="AA187" s="610"/>
      <c r="AB187" s="610"/>
      <c r="AC187" s="610"/>
      <c r="AD187" s="610"/>
      <c r="AE187" s="610"/>
      <c r="AF187" s="610"/>
      <c r="AG187" s="610"/>
      <c r="AH187" s="610"/>
    </row>
    <row r="188" spans="2:34" x14ac:dyDescent="0.25">
      <c r="B188" s="592"/>
      <c r="C188" s="610"/>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0"/>
      <c r="AE188" s="610"/>
      <c r="AF188" s="610"/>
      <c r="AG188" s="610"/>
      <c r="AH188" s="610"/>
    </row>
    <row r="189" spans="2:34" x14ac:dyDescent="0.25">
      <c r="B189" s="592"/>
      <c r="C189" s="610"/>
      <c r="D189" s="610"/>
      <c r="E189" s="610"/>
      <c r="F189" s="610"/>
      <c r="G189" s="610"/>
      <c r="H189" s="610"/>
      <c r="I189" s="610"/>
      <c r="J189" s="610"/>
      <c r="K189" s="610"/>
      <c r="L189" s="610"/>
      <c r="M189" s="610"/>
      <c r="N189" s="610"/>
      <c r="O189" s="610"/>
      <c r="P189" s="610"/>
      <c r="Q189" s="610"/>
      <c r="R189" s="610"/>
      <c r="S189" s="610"/>
      <c r="T189" s="610"/>
      <c r="U189" s="610"/>
      <c r="V189" s="610"/>
      <c r="W189" s="610"/>
      <c r="X189" s="610"/>
      <c r="Y189" s="610"/>
      <c r="Z189" s="610"/>
      <c r="AA189" s="610"/>
      <c r="AB189" s="610"/>
      <c r="AC189" s="610"/>
      <c r="AD189" s="610"/>
      <c r="AE189" s="610"/>
      <c r="AF189" s="610"/>
      <c r="AG189" s="610"/>
      <c r="AH189" s="610"/>
    </row>
  </sheetData>
  <sheetProtection algorithmName="SHA-512" hashValue="tMhPWApJzr6K0WJ7QzxChJLeW/nAfF+DxFI0xfMBJDsL1akO0X7sNh4qZBfHcfJ0vONUSpDQSOnUQnPIKvldJQ==" saltValue="Irmamovs7KfEAjw2IYAASQ==" spinCount="100000" sheet="1"/>
  <mergeCells count="274">
    <mergeCell ref="E26:I26"/>
    <mergeCell ref="C40:G40"/>
    <mergeCell ref="F52:T52"/>
    <mergeCell ref="G67:T67"/>
    <mergeCell ref="P72:R72"/>
    <mergeCell ref="C50:T50"/>
    <mergeCell ref="C51:E51"/>
    <mergeCell ref="G56:J56"/>
    <mergeCell ref="C56:F56"/>
    <mergeCell ref="R55:T55"/>
    <mergeCell ref="F55:Q55"/>
    <mergeCell ref="J57:L57"/>
    <mergeCell ref="P57:T57"/>
    <mergeCell ref="M57:O57"/>
    <mergeCell ref="C52:E52"/>
    <mergeCell ref="C69:G69"/>
    <mergeCell ref="H69:T69"/>
    <mergeCell ref="F64:K64"/>
    <mergeCell ref="C55:E55"/>
    <mergeCell ref="G59:T59"/>
    <mergeCell ref="C60:E60"/>
    <mergeCell ref="C59:F59"/>
    <mergeCell ref="L64:T64"/>
    <mergeCell ref="C64:E64"/>
    <mergeCell ref="H89:Q89"/>
    <mergeCell ref="G85:Q85"/>
    <mergeCell ref="C80:F80"/>
    <mergeCell ref="C83:J83"/>
    <mergeCell ref="C73:K73"/>
    <mergeCell ref="F77:T77"/>
    <mergeCell ref="C78:F78"/>
    <mergeCell ref="G78:T78"/>
    <mergeCell ref="C67:F67"/>
    <mergeCell ref="F72:O72"/>
    <mergeCell ref="K56:L56"/>
    <mergeCell ref="C65:T65"/>
    <mergeCell ref="C72:E72"/>
    <mergeCell ref="M56:P56"/>
    <mergeCell ref="B62:T62"/>
    <mergeCell ref="F60:T60"/>
    <mergeCell ref="E24:I24"/>
    <mergeCell ref="M24:P24"/>
    <mergeCell ref="C31:T31"/>
    <mergeCell ref="H30:K30"/>
    <mergeCell ref="L30:T30"/>
    <mergeCell ref="C33:D33"/>
    <mergeCell ref="C49:E49"/>
    <mergeCell ref="F49:H49"/>
    <mergeCell ref="C46:E46"/>
    <mergeCell ref="F46:T46"/>
    <mergeCell ref="K24:L24"/>
    <mergeCell ref="E25:I25"/>
    <mergeCell ref="M26:P26"/>
    <mergeCell ref="H40:T40"/>
    <mergeCell ref="C41:S41"/>
    <mergeCell ref="K27:L27"/>
    <mergeCell ref="C38:T38"/>
    <mergeCell ref="C48:T48"/>
    <mergeCell ref="K25:L25"/>
    <mergeCell ref="K26:L26"/>
    <mergeCell ref="L34:T34"/>
    <mergeCell ref="I49:T49"/>
    <mergeCell ref="M25:P25"/>
    <mergeCell ref="E27:I27"/>
    <mergeCell ref="B4:T4"/>
    <mergeCell ref="E21:I21"/>
    <mergeCell ref="C44:T44"/>
    <mergeCell ref="K33:R33"/>
    <mergeCell ref="E33:J33"/>
    <mergeCell ref="H34:K34"/>
    <mergeCell ref="C35:T35"/>
    <mergeCell ref="C37:F37"/>
    <mergeCell ref="G37:N37"/>
    <mergeCell ref="O37:T37"/>
    <mergeCell ref="K29:Q29"/>
    <mergeCell ref="E29:J29"/>
    <mergeCell ref="B6:J6"/>
    <mergeCell ref="K21:L21"/>
    <mergeCell ref="K22:L22"/>
    <mergeCell ref="K23:L23"/>
    <mergeCell ref="M21:P21"/>
    <mergeCell ref="L10:S11"/>
    <mergeCell ref="C39:T39"/>
    <mergeCell ref="O42:P42"/>
    <mergeCell ref="M27:P27"/>
    <mergeCell ref="Q42:T42"/>
    <mergeCell ref="C29:D29"/>
    <mergeCell ref="C34:G34"/>
    <mergeCell ref="C125:E125"/>
    <mergeCell ref="G82:S82"/>
    <mergeCell ref="G80:R80"/>
    <mergeCell ref="J47:L47"/>
    <mergeCell ref="N83:P83"/>
    <mergeCell ref="Q83:T83"/>
    <mergeCell ref="K83:M83"/>
    <mergeCell ref="O87:P87"/>
    <mergeCell ref="C76:E76"/>
    <mergeCell ref="E123:F123"/>
    <mergeCell ref="H106:N106"/>
    <mergeCell ref="C116:T116"/>
    <mergeCell ref="N97:P97"/>
    <mergeCell ref="L73:O73"/>
    <mergeCell ref="F81:L81"/>
    <mergeCell ref="Q81:R81"/>
    <mergeCell ref="R90:T90"/>
    <mergeCell ref="D92:M92"/>
    <mergeCell ref="D93:M93"/>
    <mergeCell ref="D94:M94"/>
    <mergeCell ref="D98:M98"/>
    <mergeCell ref="E99:M99"/>
    <mergeCell ref="M123:N123"/>
    <mergeCell ref="C70:T70"/>
    <mergeCell ref="M5:N6"/>
    <mergeCell ref="O5:S6"/>
    <mergeCell ref="O7:S8"/>
    <mergeCell ref="E22:I22"/>
    <mergeCell ref="E23:I23"/>
    <mergeCell ref="C20:S20"/>
    <mergeCell ref="M22:P22"/>
    <mergeCell ref="M23:P23"/>
    <mergeCell ref="B5:J5"/>
    <mergeCell ref="B8:J8"/>
    <mergeCell ref="B9:J9"/>
    <mergeCell ref="B14:J14"/>
    <mergeCell ref="C18:T18"/>
    <mergeCell ref="B16:T16"/>
    <mergeCell ref="L7:N8"/>
    <mergeCell ref="B15:T15"/>
    <mergeCell ref="G7:J7"/>
    <mergeCell ref="L12:S12"/>
    <mergeCell ref="B10:J12"/>
    <mergeCell ref="G13:J13"/>
    <mergeCell ref="D95:M95"/>
    <mergeCell ref="D96:M96"/>
    <mergeCell ref="L131:M131"/>
    <mergeCell ref="R130:S130"/>
    <mergeCell ref="C109:T109"/>
    <mergeCell ref="J128:K128"/>
    <mergeCell ref="C81:E81"/>
    <mergeCell ref="Q87:T87"/>
    <mergeCell ref="P131:Q131"/>
    <mergeCell ref="N96:P96"/>
    <mergeCell ref="R131:S131"/>
    <mergeCell ref="L130:M130"/>
    <mergeCell ref="N130:O130"/>
    <mergeCell ref="P130:Q130"/>
    <mergeCell ref="C86:T86"/>
    <mergeCell ref="M81:P81"/>
    <mergeCell ref="N99:P99"/>
    <mergeCell ref="N100:P100"/>
    <mergeCell ref="D97:M97"/>
    <mergeCell ref="L128:M128"/>
    <mergeCell ref="G123:H123"/>
    <mergeCell ref="H105:N105"/>
    <mergeCell ref="E100:M100"/>
    <mergeCell ref="P129:Q129"/>
    <mergeCell ref="L164:T164"/>
    <mergeCell ref="D148:T148"/>
    <mergeCell ref="D149:T149"/>
    <mergeCell ref="D150:T150"/>
    <mergeCell ref="D151:T151"/>
    <mergeCell ref="C158:G158"/>
    <mergeCell ref="C157:R157"/>
    <mergeCell ref="H158:T158"/>
    <mergeCell ref="C159:T159"/>
    <mergeCell ref="C155:G155"/>
    <mergeCell ref="C161:T161"/>
    <mergeCell ref="J134:K134"/>
    <mergeCell ref="C138:T138"/>
    <mergeCell ref="C154:T154"/>
    <mergeCell ref="C140:T140"/>
    <mergeCell ref="L134:M134"/>
    <mergeCell ref="N134:O134"/>
    <mergeCell ref="P134:Q134"/>
    <mergeCell ref="J126:K126"/>
    <mergeCell ref="L126:M126"/>
    <mergeCell ref="N126:O126"/>
    <mergeCell ref="P126:Q126"/>
    <mergeCell ref="R126:S126"/>
    <mergeCell ref="B168:J168"/>
    <mergeCell ref="R133:S133"/>
    <mergeCell ref="C104:T104"/>
    <mergeCell ref="C103:T103"/>
    <mergeCell ref="N90:Q90"/>
    <mergeCell ref="H130:I130"/>
    <mergeCell ref="M119:N119"/>
    <mergeCell ref="C121:T121"/>
    <mergeCell ref="C112:T112"/>
    <mergeCell ref="C113:T113"/>
    <mergeCell ref="C115:F115"/>
    <mergeCell ref="L129:M129"/>
    <mergeCell ref="H155:T155"/>
    <mergeCell ref="L166:T166"/>
    <mergeCell ref="H129:I129"/>
    <mergeCell ref="P132:Q132"/>
    <mergeCell ref="J132:K132"/>
    <mergeCell ref="C146:T146"/>
    <mergeCell ref="B144:T144"/>
    <mergeCell ref="J131:K131"/>
    <mergeCell ref="N129:O129"/>
    <mergeCell ref="N133:O133"/>
    <mergeCell ref="P133:Q133"/>
    <mergeCell ref="N131:O131"/>
    <mergeCell ref="B169:C169"/>
    <mergeCell ref="L168:T168"/>
    <mergeCell ref="E119:F119"/>
    <mergeCell ref="R89:T89"/>
    <mergeCell ref="N93:P93"/>
    <mergeCell ref="N92:P92"/>
    <mergeCell ref="N95:P95"/>
    <mergeCell ref="H107:N107"/>
    <mergeCell ref="C118:T118"/>
    <mergeCell ref="C111:T111"/>
    <mergeCell ref="G119:H119"/>
    <mergeCell ref="C142:T142"/>
    <mergeCell ref="B166:J166"/>
    <mergeCell ref="H133:I133"/>
    <mergeCell ref="H134:I134"/>
    <mergeCell ref="J130:K130"/>
    <mergeCell ref="L169:T169"/>
    <mergeCell ref="C152:E152"/>
    <mergeCell ref="F152:T152"/>
    <mergeCell ref="C153:T153"/>
    <mergeCell ref="N128:O128"/>
    <mergeCell ref="O136:P136"/>
    <mergeCell ref="F125:T125"/>
    <mergeCell ref="H165:J165"/>
    <mergeCell ref="B2:T2"/>
    <mergeCell ref="B3:T3"/>
    <mergeCell ref="B167:G167"/>
    <mergeCell ref="H167:J167"/>
    <mergeCell ref="R167:T167"/>
    <mergeCell ref="L167:Q167"/>
    <mergeCell ref="L165:Q165"/>
    <mergeCell ref="G115:T115"/>
    <mergeCell ref="C75:G75"/>
    <mergeCell ref="H75:T75"/>
    <mergeCell ref="F76:T76"/>
    <mergeCell ref="C77:E77"/>
    <mergeCell ref="C82:F82"/>
    <mergeCell ref="C85:F85"/>
    <mergeCell ref="R85:T85"/>
    <mergeCell ref="C102:T102"/>
    <mergeCell ref="N98:P98"/>
    <mergeCell ref="N94:P94"/>
    <mergeCell ref="C89:G89"/>
    <mergeCell ref="C90:M90"/>
    <mergeCell ref="C47:I47"/>
    <mergeCell ref="M47:T47"/>
    <mergeCell ref="N132:O132"/>
    <mergeCell ref="B165:G165"/>
    <mergeCell ref="J133:K133"/>
    <mergeCell ref="C147:T147"/>
    <mergeCell ref="C127:G128"/>
    <mergeCell ref="C139:T139"/>
    <mergeCell ref="L132:M132"/>
    <mergeCell ref="H132:I132"/>
    <mergeCell ref="P128:Q128"/>
    <mergeCell ref="R128:S128"/>
    <mergeCell ref="J129:K129"/>
    <mergeCell ref="R129:S129"/>
    <mergeCell ref="H127:I128"/>
    <mergeCell ref="R165:T165"/>
    <mergeCell ref="E162:T162"/>
    <mergeCell ref="L133:M133"/>
    <mergeCell ref="Q136:T136"/>
    <mergeCell ref="R156:T156"/>
    <mergeCell ref="H131:I131"/>
    <mergeCell ref="B163:T163"/>
    <mergeCell ref="J127:S127"/>
    <mergeCell ref="R134:S134"/>
    <mergeCell ref="R132:S132"/>
    <mergeCell ref="B164:J164"/>
    <mergeCell ref="B162:D162"/>
  </mergeCells>
  <phoneticPr fontId="0" type="noConversion"/>
  <conditionalFormatting sqref="C76:E77">
    <cfRule type="expression" dxfId="153" priority="51" stopIfTrue="1">
      <formula>NOT(ISNUMBER($C$78))</formula>
    </cfRule>
  </conditionalFormatting>
  <conditionalFormatting sqref="Q22:Q27">
    <cfRule type="expression" dxfId="152" priority="53" stopIfTrue="1">
      <formula>ISNUMBER(Q22)</formula>
    </cfRule>
  </conditionalFormatting>
  <conditionalFormatting sqref="J129:K134">
    <cfRule type="expression" dxfId="151" priority="60" stopIfTrue="1">
      <formula>AND(NOT(ISNUMBER(G129)),NOT(ISNUMBER(H129)))</formula>
    </cfRule>
    <cfRule type="expression" dxfId="150" priority="61" stopIfTrue="1">
      <formula>J129=0</formula>
    </cfRule>
  </conditionalFormatting>
  <conditionalFormatting sqref="L129:M134">
    <cfRule type="expression" dxfId="149" priority="62" stopIfTrue="1">
      <formula>AND(NOT(ISNUMBER(G129)),NOT(ISNUMBER(H129)))</formula>
    </cfRule>
    <cfRule type="expression" dxfId="148" priority="63" stopIfTrue="1">
      <formula>L129=0</formula>
    </cfRule>
  </conditionalFormatting>
  <conditionalFormatting sqref="N129:O134">
    <cfRule type="expression" dxfId="147" priority="64" stopIfTrue="1">
      <formula>AND(NOT(ISNUMBER(G129)),NOT(ISNUMBER(H129)))</formula>
    </cfRule>
    <cfRule type="expression" dxfId="146" priority="65" stopIfTrue="1">
      <formula>N129=0</formula>
    </cfRule>
  </conditionalFormatting>
  <conditionalFormatting sqref="P129:Q134">
    <cfRule type="expression" dxfId="145" priority="66" stopIfTrue="1">
      <formula>AND(NOT(ISNUMBER(G129)),NOT(ISNUMBER(H129)))</formula>
    </cfRule>
    <cfRule type="expression" dxfId="144" priority="67" stopIfTrue="1">
      <formula>P129=0</formula>
    </cfRule>
  </conditionalFormatting>
  <conditionalFormatting sqref="R129:S134">
    <cfRule type="expression" dxfId="143" priority="68" stopIfTrue="1">
      <formula>AND(NOT(ISNUMBER(G129)),NOT(ISNUMBER(H129)))</formula>
    </cfRule>
    <cfRule type="expression" dxfId="142" priority="69" stopIfTrue="1">
      <formula>R129=0</formula>
    </cfRule>
  </conditionalFormatting>
  <pageMargins left="0.75" right="0.45" top="0.75" bottom="0.75" header="0.5" footer="0.5"/>
  <pageSetup fitToHeight="0" orientation="portrait" horizontalDpi="1200" verticalDpi="1200" r:id="rId1"/>
  <headerFooter alignWithMargins="0">
    <oddFooter>&amp;RPage &amp;P of 4</oddFooter>
  </headerFooter>
  <rowBreaks count="3" manualBreakCount="3">
    <brk id="41" min="1" max="19" man="1"/>
    <brk id="86" min="1" max="19" man="1"/>
    <brk id="135"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90099"/>
  </sheetPr>
  <dimension ref="B1:W306"/>
  <sheetViews>
    <sheetView showGridLines="0" zoomScaleNormal="100" workbookViewId="0"/>
  </sheetViews>
  <sheetFormatPr defaultColWidth="9.33203125" defaultRowHeight="13.8" x14ac:dyDescent="0.3"/>
  <cols>
    <col min="1" max="1" width="0.6640625" style="390" customWidth="1"/>
    <col min="2" max="2" width="1.33203125" style="390" customWidth="1"/>
    <col min="3" max="4" width="2.33203125" style="390" customWidth="1"/>
    <col min="5" max="6" width="2.6640625" style="390" customWidth="1"/>
    <col min="7" max="7" width="6.6640625" style="390" customWidth="1"/>
    <col min="8" max="9" width="4.33203125" style="390" customWidth="1"/>
    <col min="10" max="11" width="3.6640625" style="390" customWidth="1"/>
    <col min="12" max="12" width="7.44140625" style="390" customWidth="1"/>
    <col min="13" max="13" width="2.33203125" style="390" customWidth="1"/>
    <col min="14" max="14" width="8.33203125" style="390" customWidth="1"/>
    <col min="15" max="15" width="2.33203125" style="390" customWidth="1"/>
    <col min="16" max="16" width="8.5546875" style="390" customWidth="1"/>
    <col min="17" max="17" width="2.33203125" style="390" customWidth="1"/>
    <col min="18" max="18" width="4.5546875" style="390" customWidth="1"/>
    <col min="19" max="19" width="2.6640625" style="390" customWidth="1"/>
    <col min="20" max="20" width="6.6640625" style="390" customWidth="1"/>
    <col min="21" max="21" width="2.6640625" style="390" customWidth="1"/>
    <col min="22" max="22" width="7.5546875" style="390" customWidth="1"/>
    <col min="23" max="24" width="1.5546875" style="390" customWidth="1"/>
    <col min="25" max="16384" width="9.33203125" style="390"/>
  </cols>
  <sheetData>
    <row r="1" spans="2:23" s="485" customFormat="1" ht="12.9" customHeight="1" x14ac:dyDescent="0.3">
      <c r="B1" s="511"/>
      <c r="C1" s="511"/>
      <c r="D1" s="511"/>
      <c r="E1" s="511"/>
      <c r="F1" s="511"/>
      <c r="G1" s="511"/>
      <c r="H1" s="512"/>
      <c r="I1" s="512"/>
      <c r="J1" s="1650" t="s">
        <v>341</v>
      </c>
      <c r="K1" s="1650"/>
      <c r="L1" s="1650"/>
      <c r="M1" s="1650"/>
      <c r="N1" s="1650"/>
      <c r="O1" s="1650"/>
      <c r="P1" s="1650"/>
      <c r="Q1" s="390"/>
      <c r="R1" s="513"/>
      <c r="S1" s="514"/>
      <c r="T1" s="514"/>
      <c r="U1" s="514"/>
      <c r="V1" s="515"/>
      <c r="W1" s="516" t="s">
        <v>342</v>
      </c>
    </row>
    <row r="2" spans="2:23" s="485" customFormat="1" ht="12.9" customHeight="1" x14ac:dyDescent="0.3">
      <c r="B2" s="511"/>
      <c r="C2" s="511"/>
      <c r="D2" s="511"/>
      <c r="E2" s="511"/>
      <c r="F2" s="511"/>
      <c r="G2" s="511"/>
      <c r="H2" s="512"/>
      <c r="I2" s="512"/>
      <c r="J2" s="717"/>
      <c r="K2" s="717"/>
      <c r="L2" s="717"/>
      <c r="M2" s="717"/>
      <c r="N2" s="717"/>
      <c r="O2" s="717"/>
      <c r="P2" s="717"/>
      <c r="Q2" s="390"/>
      <c r="R2" s="517"/>
      <c r="S2" s="518"/>
      <c r="T2" s="518"/>
      <c r="U2" s="518"/>
      <c r="V2" s="519"/>
      <c r="W2" s="520" t="s">
        <v>343</v>
      </c>
    </row>
    <row r="3" spans="2:23" s="486" customFormat="1" ht="18" customHeight="1" x14ac:dyDescent="0.3">
      <c r="B3" s="521"/>
      <c r="C3" s="250" t="s">
        <v>344</v>
      </c>
      <c r="D3" s="521"/>
      <c r="E3" s="521"/>
      <c r="F3" s="521"/>
      <c r="G3" s="521"/>
      <c r="H3" s="521"/>
      <c r="I3" s="521"/>
      <c r="J3" s="521"/>
      <c r="K3" s="521"/>
      <c r="L3" s="521"/>
      <c r="M3" s="521"/>
      <c r="N3" s="521"/>
      <c r="O3" s="521"/>
      <c r="P3" s="686" t="s">
        <v>33</v>
      </c>
      <c r="Q3" s="1660">
        <f ca="1">TODAY()</f>
        <v>44925</v>
      </c>
      <c r="R3" s="1660"/>
      <c r="S3" s="1660"/>
      <c r="T3" s="1660"/>
      <c r="U3" s="1660"/>
      <c r="V3" s="1660"/>
      <c r="W3" s="1660"/>
    </row>
    <row r="4" spans="2:23" s="486" customFormat="1" ht="9" customHeight="1" x14ac:dyDescent="0.3">
      <c r="B4" s="521"/>
      <c r="C4" s="521"/>
      <c r="D4" s="522"/>
      <c r="E4" s="511"/>
      <c r="F4" s="521"/>
      <c r="G4" s="521"/>
      <c r="H4" s="521"/>
      <c r="I4" s="521"/>
      <c r="J4" s="521"/>
      <c r="K4" s="521"/>
      <c r="L4" s="521"/>
      <c r="M4" s="521"/>
      <c r="N4" s="521"/>
      <c r="O4" s="521"/>
      <c r="P4" s="521"/>
      <c r="Q4" s="521"/>
      <c r="R4" s="521"/>
      <c r="S4" s="521"/>
      <c r="T4" s="521"/>
      <c r="U4" s="521"/>
      <c r="V4" s="521"/>
      <c r="W4" s="521"/>
    </row>
    <row r="5" spans="2:23" s="487" customFormat="1" ht="11.25" customHeight="1" x14ac:dyDescent="0.25">
      <c r="B5" s="523"/>
      <c r="C5" s="523"/>
      <c r="D5" s="524" t="str">
        <f>IF(Worksheet!G267="x",Worksheet!G267,"")</f>
        <v>x</v>
      </c>
      <c r="E5" s="525" t="s">
        <v>345</v>
      </c>
      <c r="F5" s="523"/>
      <c r="G5" s="523"/>
      <c r="H5" s="523"/>
      <c r="I5" s="523"/>
      <c r="J5" s="523"/>
      <c r="K5" s="523"/>
      <c r="L5" s="523"/>
      <c r="M5" s="523"/>
      <c r="N5" s="523"/>
      <c r="O5" s="523"/>
      <c r="P5" s="523"/>
      <c r="Q5" s="523"/>
      <c r="R5" s="523"/>
      <c r="S5" s="526" t="str">
        <f>IF(Worksheet!G268="x",Worksheet!G268,"")</f>
        <v/>
      </c>
      <c r="T5" s="525" t="s">
        <v>346</v>
      </c>
      <c r="U5" s="523"/>
      <c r="V5" s="523"/>
      <c r="W5" s="523"/>
    </row>
    <row r="6" spans="2:23" s="486" customFormat="1" ht="3" customHeight="1" x14ac:dyDescent="0.3">
      <c r="B6" s="521"/>
      <c r="C6" s="521"/>
      <c r="D6" s="527"/>
      <c r="E6" s="511"/>
      <c r="F6" s="521"/>
      <c r="G6" s="521"/>
      <c r="H6" s="521"/>
      <c r="I6" s="521"/>
      <c r="J6" s="521"/>
      <c r="K6" s="521"/>
      <c r="L6" s="521"/>
      <c r="M6" s="521"/>
      <c r="N6" s="521"/>
      <c r="O6" s="521"/>
      <c r="P6" s="521"/>
      <c r="Q6" s="521"/>
      <c r="R6" s="521"/>
      <c r="S6" s="521"/>
      <c r="T6" s="521"/>
      <c r="U6" s="521"/>
      <c r="V6" s="521"/>
      <c r="W6" s="521"/>
    </row>
    <row r="7" spans="2:23" s="486" customFormat="1" ht="11.25" customHeight="1" x14ac:dyDescent="0.3">
      <c r="B7" s="521"/>
      <c r="C7" s="521"/>
      <c r="D7" s="526" t="str">
        <f>IF(Worksheet!G269="x",Worksheet!G269,"")</f>
        <v/>
      </c>
      <c r="E7" s="525" t="s">
        <v>347</v>
      </c>
      <c r="F7" s="521"/>
      <c r="G7" s="521"/>
      <c r="H7" s="521"/>
      <c r="I7" s="521"/>
      <c r="J7" s="521"/>
      <c r="K7" s="521"/>
      <c r="L7" s="521"/>
      <c r="M7" s="521"/>
      <c r="N7" s="521"/>
      <c r="O7" s="521"/>
      <c r="P7" s="521"/>
      <c r="Q7" s="521"/>
      <c r="R7" s="521"/>
      <c r="S7" s="526" t="str">
        <f>IF(Worksheet!G270="x",Worksheet!G270,"")</f>
        <v/>
      </c>
      <c r="T7" s="525" t="s">
        <v>348</v>
      </c>
      <c r="U7" s="521"/>
      <c r="V7" s="521"/>
      <c r="W7" s="521"/>
    </row>
    <row r="8" spans="2:23" s="485" customFormat="1" ht="6.75" customHeight="1" x14ac:dyDescent="0.3">
      <c r="B8" s="390"/>
      <c r="C8" s="390"/>
      <c r="D8" s="390"/>
      <c r="E8" s="390"/>
      <c r="F8" s="390"/>
      <c r="G8" s="390"/>
      <c r="H8" s="390"/>
      <c r="I8" s="390"/>
      <c r="J8" s="390"/>
      <c r="K8" s="390"/>
      <c r="L8" s="390"/>
      <c r="M8" s="390"/>
      <c r="N8" s="390"/>
      <c r="O8" s="390"/>
      <c r="P8" s="390"/>
      <c r="Q8" s="390"/>
      <c r="R8" s="390"/>
      <c r="S8" s="390"/>
      <c r="T8" s="390"/>
      <c r="U8" s="390"/>
      <c r="V8" s="390"/>
      <c r="W8" s="390"/>
    </row>
    <row r="9" spans="2:23" s="485" customFormat="1" ht="4.5" customHeight="1" x14ac:dyDescent="0.3">
      <c r="B9" s="528"/>
      <c r="C9" s="515"/>
      <c r="D9" s="515"/>
      <c r="E9" s="515"/>
      <c r="F9" s="515"/>
      <c r="G9" s="515"/>
      <c r="H9" s="515"/>
      <c r="I9" s="515"/>
      <c r="J9" s="515"/>
      <c r="K9" s="515"/>
      <c r="L9" s="515"/>
      <c r="M9" s="515"/>
      <c r="N9" s="515"/>
      <c r="O9" s="515"/>
      <c r="P9" s="515"/>
      <c r="Q9" s="515"/>
      <c r="R9" s="515"/>
      <c r="S9" s="515"/>
      <c r="T9" s="515"/>
      <c r="U9" s="515"/>
      <c r="V9" s="515"/>
      <c r="W9" s="529"/>
    </row>
    <row r="10" spans="2:23" s="485" customFormat="1" ht="11.25" customHeight="1" x14ac:dyDescent="0.3">
      <c r="B10" s="713"/>
      <c r="C10" s="530" t="str">
        <f>IF(Worksheet!G273="x",Worksheet!G273,"")</f>
        <v/>
      </c>
      <c r="D10" s="718" t="s">
        <v>349</v>
      </c>
      <c r="E10" s="718"/>
      <c r="F10" s="718"/>
      <c r="G10" s="718"/>
      <c r="H10" s="718"/>
      <c r="I10" s="718"/>
      <c r="J10" s="718"/>
      <c r="K10" s="718"/>
      <c r="L10" s="718"/>
      <c r="M10" s="530" t="str">
        <f>IF(Worksheet!G272="x",Worksheet!G272,"")</f>
        <v>x</v>
      </c>
      <c r="N10" s="718" t="s">
        <v>350</v>
      </c>
      <c r="O10" s="530" t="str">
        <f>IF(Worksheet!G274="x",Worksheet!G274,"")</f>
        <v/>
      </c>
      <c r="P10" s="718" t="s">
        <v>351</v>
      </c>
      <c r="Q10" s="530" t="str">
        <f>IF(Worksheet!G275="x",Worksheet!G275,"")</f>
        <v/>
      </c>
      <c r="R10" s="1651" t="s">
        <v>352</v>
      </c>
      <c r="S10" s="1651"/>
      <c r="T10" s="1651"/>
      <c r="U10" s="1651"/>
      <c r="V10" s="1651"/>
      <c r="W10" s="531"/>
    </row>
    <row r="11" spans="2:23" s="485" customFormat="1" ht="45" customHeight="1" x14ac:dyDescent="0.3">
      <c r="B11" s="532"/>
      <c r="C11" s="1652" t="s">
        <v>353</v>
      </c>
      <c r="D11" s="1653"/>
      <c r="E11" s="1653"/>
      <c r="F11" s="1653"/>
      <c r="G11" s="1653"/>
      <c r="H11" s="1653"/>
      <c r="I11" s="1653"/>
      <c r="J11" s="1653"/>
      <c r="K11" s="1653"/>
      <c r="L11" s="1653"/>
      <c r="M11" s="1653"/>
      <c r="N11" s="1653"/>
      <c r="O11" s="1653"/>
      <c r="P11" s="1653"/>
      <c r="Q11" s="1653"/>
      <c r="R11" s="1653"/>
      <c r="S11" s="1653"/>
      <c r="T11" s="1653"/>
      <c r="U11" s="1653"/>
      <c r="V11" s="1653"/>
      <c r="W11" s="1654"/>
    </row>
    <row r="12" spans="2:23" s="485" customFormat="1" ht="6" customHeight="1" x14ac:dyDescent="0.3">
      <c r="B12" s="594"/>
      <c r="C12" s="594"/>
      <c r="D12" s="594"/>
      <c r="E12" s="594"/>
      <c r="F12" s="594"/>
      <c r="G12" s="594"/>
      <c r="H12" s="594"/>
      <c r="I12" s="594"/>
      <c r="J12" s="594"/>
      <c r="K12" s="594"/>
      <c r="L12" s="594"/>
      <c r="M12" s="594"/>
      <c r="N12" s="594"/>
      <c r="O12" s="594"/>
      <c r="P12" s="594"/>
      <c r="Q12" s="594"/>
      <c r="R12" s="594"/>
      <c r="S12" s="594"/>
      <c r="T12" s="594"/>
      <c r="U12" s="594"/>
      <c r="V12" s="594"/>
      <c r="W12" s="594"/>
    </row>
    <row r="13" spans="2:23" s="485" customFormat="1" ht="14.4" x14ac:dyDescent="0.3">
      <c r="B13" s="594"/>
      <c r="C13" s="1640" t="s">
        <v>354</v>
      </c>
      <c r="D13" s="1640"/>
      <c r="E13" s="1640"/>
      <c r="F13" s="1640"/>
      <c r="G13" s="1640"/>
      <c r="H13" s="1655" t="str">
        <f>IF(NOT(ISBLANK(County!D11)),County!D11,"")</f>
        <v>Arizona</v>
      </c>
      <c r="I13" s="1655"/>
      <c r="J13" s="1655"/>
      <c r="K13" s="1655"/>
      <c r="L13" s="1655"/>
      <c r="M13" s="594"/>
      <c r="N13" s="1640" t="s">
        <v>355</v>
      </c>
      <c r="O13" s="1656"/>
      <c r="P13" s="1656"/>
      <c r="Q13" s="1656"/>
      <c r="R13" s="1656"/>
      <c r="S13" s="1657" t="str">
        <f>IF(NOT(ISBLANK(Worksheet!I293)),Worksheet!I293,"")</f>
        <v/>
      </c>
      <c r="T13" s="1658"/>
      <c r="U13" s="1658"/>
      <c r="V13" s="1658"/>
      <c r="W13" s="704"/>
    </row>
    <row r="14" spans="2:23" s="485" customFormat="1" ht="14.4" x14ac:dyDescent="0.3">
      <c r="B14" s="594"/>
      <c r="C14" s="1640" t="s">
        <v>356</v>
      </c>
      <c r="D14" s="1640"/>
      <c r="E14" s="1640"/>
      <c r="F14" s="1640"/>
      <c r="G14" s="1640"/>
      <c r="H14" s="1659" t="str">
        <f>IF(NOT(ISBLANK(County!D12)),County!D12,"")</f>
        <v>Maricopa</v>
      </c>
      <c r="I14" s="1659"/>
      <c r="J14" s="1659"/>
      <c r="K14" s="1659"/>
      <c r="L14" s="1659"/>
      <c r="M14" s="594"/>
      <c r="N14" s="594" t="s">
        <v>357</v>
      </c>
      <c r="O14" s="1657" t="str">
        <f>CaseNumber</f>
        <v/>
      </c>
      <c r="P14" s="1658"/>
      <c r="Q14" s="1658"/>
      <c r="R14" s="1658"/>
      <c r="S14" s="1658"/>
      <c r="T14" s="1658"/>
      <c r="U14" s="1658"/>
      <c r="V14" s="1658"/>
      <c r="W14" s="594"/>
    </row>
    <row r="15" spans="2:23" s="485" customFormat="1" ht="14.4" x14ac:dyDescent="0.3">
      <c r="B15" s="594"/>
      <c r="C15" s="1640" t="str">
        <f>IF(NOT(ISBLANK(Worksheet!G274)),"Attorney","Private Individual/Entity")</f>
        <v>Private Individual/Entity</v>
      </c>
      <c r="D15" s="1640"/>
      <c r="E15" s="1640"/>
      <c r="F15" s="1640"/>
      <c r="G15" s="1640"/>
      <c r="H15" s="1655" t="str">
        <f>IF(NOT(ISBLANK(Worksheet!G275)),Worksheet!P275,IF(NOT(ISBLANK(Worksheet!G274)),Worksheet!N274,""))</f>
        <v/>
      </c>
      <c r="I15" s="1655"/>
      <c r="J15" s="1655"/>
      <c r="K15" s="1655"/>
      <c r="L15" s="1655"/>
      <c r="M15" s="594"/>
      <c r="N15" s="594" t="s">
        <v>358</v>
      </c>
      <c r="O15" s="1661" t="str">
        <f>IF(NOT(ISBLANK(Worksheet!I293)),Worksheet!I293,"")</f>
        <v/>
      </c>
      <c r="P15" s="1661"/>
      <c r="Q15" s="1661"/>
      <c r="R15" s="1661"/>
      <c r="S15" s="1661"/>
      <c r="T15" s="1661"/>
      <c r="U15" s="1661"/>
      <c r="V15" s="1661"/>
      <c r="W15" s="712"/>
    </row>
    <row r="16" spans="2:23" s="485" customFormat="1" ht="19.95" customHeight="1" x14ac:dyDescent="0.3">
      <c r="B16" s="594"/>
      <c r="C16" s="250" t="s">
        <v>359</v>
      </c>
      <c r="D16" s="594"/>
      <c r="E16" s="594"/>
      <c r="F16" s="594"/>
      <c r="G16" s="594"/>
      <c r="H16" s="594"/>
      <c r="I16" s="594"/>
      <c r="J16" s="594"/>
      <c r="K16" s="594"/>
      <c r="L16" s="594"/>
      <c r="M16" s="594"/>
      <c r="N16" s="594"/>
      <c r="O16" s="594"/>
      <c r="P16" s="594"/>
      <c r="Q16" s="594"/>
      <c r="R16" s="594"/>
      <c r="S16" s="594"/>
      <c r="T16" s="594"/>
      <c r="U16" s="594"/>
      <c r="V16" s="594"/>
      <c r="W16" s="594"/>
    </row>
    <row r="17" spans="2:23" s="485" customFormat="1" ht="15" customHeight="1" x14ac:dyDescent="0.3">
      <c r="B17" s="533"/>
      <c r="C17" s="1659" t="str">
        <f>IF(NOT(ISBLANK(Worksheet!I278)),Worksheet!I278,"")</f>
        <v/>
      </c>
      <c r="D17" s="1659"/>
      <c r="E17" s="1659"/>
      <c r="F17" s="1659"/>
      <c r="G17" s="1659"/>
      <c r="H17" s="1659"/>
      <c r="I17" s="1659"/>
      <c r="J17" s="1659"/>
      <c r="K17" s="1659"/>
      <c r="L17" s="1659"/>
      <c r="M17" s="1659"/>
      <c r="N17" s="707" t="s">
        <v>360</v>
      </c>
      <c r="O17" s="1659" t="str">
        <f>IF(NOT(ISBLANK(Worksheet!I284)),Worksheet!I284,IF(NOT(ISBLANK(Worksheet!I283)),Worksheet!I283,""))</f>
        <v/>
      </c>
      <c r="P17" s="1659"/>
      <c r="Q17" s="1659"/>
      <c r="R17" s="1659"/>
      <c r="S17" s="1659"/>
      <c r="T17" s="1659"/>
      <c r="U17" s="1659"/>
      <c r="V17" s="1659"/>
      <c r="W17" s="600"/>
    </row>
    <row r="18" spans="2:23" s="485" customFormat="1" ht="15" customHeight="1" x14ac:dyDescent="0.3">
      <c r="B18" s="602"/>
      <c r="C18" s="1662" t="s">
        <v>361</v>
      </c>
      <c r="D18" s="1662"/>
      <c r="E18" s="1662"/>
      <c r="F18" s="1662"/>
      <c r="G18" s="1662"/>
      <c r="H18" s="1662"/>
      <c r="I18" s="1662"/>
      <c r="J18" s="1662"/>
      <c r="K18" s="1662"/>
      <c r="L18" s="1662"/>
      <c r="M18" s="1662"/>
      <c r="N18" s="534"/>
      <c r="O18" s="1662" t="s">
        <v>362</v>
      </c>
      <c r="P18" s="1662"/>
      <c r="Q18" s="1662"/>
      <c r="R18" s="1662"/>
      <c r="S18" s="1662"/>
      <c r="T18" s="1662"/>
      <c r="U18" s="1662"/>
      <c r="V18" s="1662"/>
      <c r="W18" s="601"/>
    </row>
    <row r="19" spans="2:23" s="485" customFormat="1" ht="15" customHeight="1" x14ac:dyDescent="0.3">
      <c r="B19" s="602"/>
      <c r="C19" s="1655" t="str">
        <f>IF(NOT(ISBLANK(Worksheet!I279)),Worksheet!I279,"")</f>
        <v/>
      </c>
      <c r="D19" s="1655"/>
      <c r="E19" s="1655"/>
      <c r="F19" s="1655"/>
      <c r="G19" s="1655"/>
      <c r="H19" s="1655"/>
      <c r="I19" s="1655"/>
      <c r="J19" s="1655"/>
      <c r="K19" s="1655"/>
      <c r="L19" s="1655"/>
      <c r="M19" s="1655"/>
      <c r="N19" s="594"/>
      <c r="O19" s="1663" t="str">
        <f>IF(NOT(ISBLANK(Worksheet!I285)),Worksheet!I285,"")</f>
        <v/>
      </c>
      <c r="P19" s="1663"/>
      <c r="Q19" s="1663"/>
      <c r="R19" s="1663"/>
      <c r="S19" s="1663"/>
      <c r="T19" s="1663"/>
      <c r="U19" s="1663"/>
      <c r="V19" s="1663"/>
      <c r="W19" s="601"/>
    </row>
    <row r="20" spans="2:23" s="485" customFormat="1" ht="15" customHeight="1" x14ac:dyDescent="0.3">
      <c r="B20" s="602"/>
      <c r="C20" s="1662" t="s">
        <v>363</v>
      </c>
      <c r="D20" s="1662"/>
      <c r="E20" s="1662"/>
      <c r="F20" s="1662"/>
      <c r="G20" s="1662"/>
      <c r="H20" s="1662"/>
      <c r="I20" s="1662"/>
      <c r="J20" s="1662"/>
      <c r="K20" s="1662"/>
      <c r="L20" s="1662"/>
      <c r="M20" s="1662"/>
      <c r="N20" s="534"/>
      <c r="O20" s="1662" t="s">
        <v>364</v>
      </c>
      <c r="P20" s="1662"/>
      <c r="Q20" s="1662"/>
      <c r="R20" s="1662"/>
      <c r="S20" s="1662"/>
      <c r="T20" s="1662"/>
      <c r="U20" s="1662"/>
      <c r="V20" s="1662"/>
      <c r="W20" s="601"/>
    </row>
    <row r="21" spans="2:23" s="485" customFormat="1" ht="15" customHeight="1" x14ac:dyDescent="0.3">
      <c r="B21" s="602"/>
      <c r="C21" s="1664" t="str">
        <f>IF(NOT(ISBLANK(Worksheet!I280)),Worksheet!I280,"")</f>
        <v/>
      </c>
      <c r="D21" s="1664"/>
      <c r="E21" s="1664"/>
      <c r="F21" s="1664"/>
      <c r="G21" s="1664"/>
      <c r="H21" s="1664"/>
      <c r="I21" s="1664"/>
      <c r="J21" s="1664"/>
      <c r="K21" s="1664"/>
      <c r="L21" s="1664"/>
      <c r="M21" s="1664"/>
      <c r="N21" s="534"/>
      <c r="O21" s="1665" t="str">
        <f>IF(NOT(ISBLANK(Worksheet!I286)),Worksheet!I286,"")</f>
        <v/>
      </c>
      <c r="P21" s="1665"/>
      <c r="Q21" s="1665"/>
      <c r="R21" s="1665"/>
      <c r="S21" s="1665"/>
      <c r="T21" s="1665"/>
      <c r="U21" s="1665"/>
      <c r="V21" s="1665"/>
      <c r="W21" s="601"/>
    </row>
    <row r="22" spans="2:23" s="485" customFormat="1" ht="15" customHeight="1" x14ac:dyDescent="0.3">
      <c r="B22" s="602"/>
      <c r="C22" s="534"/>
      <c r="D22" s="534"/>
      <c r="E22" s="534"/>
      <c r="F22" s="534"/>
      <c r="G22" s="534"/>
      <c r="H22" s="534"/>
      <c r="I22" s="534"/>
      <c r="J22" s="534"/>
      <c r="K22" s="534"/>
      <c r="L22" s="534"/>
      <c r="M22" s="534"/>
      <c r="N22" s="534"/>
      <c r="O22" s="534" t="s">
        <v>365</v>
      </c>
      <c r="P22" s="534"/>
      <c r="Q22" s="534"/>
      <c r="R22" s="534"/>
      <c r="S22" s="534"/>
      <c r="T22" s="534"/>
      <c r="U22" s="534"/>
      <c r="V22" s="534"/>
      <c r="W22" s="601"/>
    </row>
    <row r="23" spans="2:23" s="485" customFormat="1" ht="15" customHeight="1" x14ac:dyDescent="0.3">
      <c r="B23" s="602"/>
      <c r="C23" s="1655"/>
      <c r="D23" s="1655"/>
      <c r="E23" s="1655"/>
      <c r="F23" s="1655"/>
      <c r="G23" s="1655"/>
      <c r="H23" s="1655"/>
      <c r="I23" s="1655"/>
      <c r="J23" s="1655"/>
      <c r="K23" s="1655"/>
      <c r="L23" s="1655"/>
      <c r="M23" s="1655"/>
      <c r="N23" s="594"/>
      <c r="O23" s="1655" t="str">
        <f>IF(NOT(ISBLANK(Worksheet!I290)),Worksheet!I290,IF(NOT(ISBLANK(Worksheet!I289)),Worksheet!I289,""))</f>
        <v/>
      </c>
      <c r="P23" s="1655"/>
      <c r="Q23" s="1655"/>
      <c r="R23" s="1655"/>
      <c r="S23" s="1655"/>
      <c r="T23" s="1655"/>
      <c r="U23" s="1655"/>
      <c r="V23" s="1655"/>
      <c r="W23" s="601"/>
    </row>
    <row r="24" spans="2:23" s="485" customFormat="1" ht="15" customHeight="1" x14ac:dyDescent="0.3">
      <c r="B24" s="602"/>
      <c r="C24" s="1666"/>
      <c r="D24" s="1666"/>
      <c r="E24" s="1666"/>
      <c r="F24" s="1666"/>
      <c r="G24" s="1666"/>
      <c r="H24" s="1666"/>
      <c r="I24" s="1666"/>
      <c r="J24" s="1666"/>
      <c r="K24" s="1666"/>
      <c r="L24" s="1666"/>
      <c r="M24" s="1666"/>
      <c r="N24" s="594"/>
      <c r="O24" s="1667" t="s">
        <v>366</v>
      </c>
      <c r="P24" s="1667"/>
      <c r="Q24" s="1667"/>
      <c r="R24" s="1667"/>
      <c r="S24" s="1667"/>
      <c r="T24" s="1667"/>
      <c r="U24" s="1667"/>
      <c r="V24" s="1667"/>
      <c r="W24" s="601"/>
    </row>
    <row r="25" spans="2:23" s="485" customFormat="1" ht="15" customHeight="1" x14ac:dyDescent="0.3">
      <c r="B25" s="602"/>
      <c r="C25" s="814" t="s">
        <v>367</v>
      </c>
      <c r="D25" s="814"/>
      <c r="E25" s="814"/>
      <c r="F25" s="814"/>
      <c r="G25" s="814"/>
      <c r="H25" s="814"/>
      <c r="I25" s="594"/>
      <c r="J25" s="591"/>
      <c r="K25" s="1668" t="str">
        <f>EmployerFEIN</f>
        <v/>
      </c>
      <c r="L25" s="1668"/>
      <c r="M25" s="1668"/>
      <c r="N25" s="1668"/>
      <c r="O25" s="1639"/>
      <c r="P25" s="1639"/>
      <c r="Q25" s="1639"/>
      <c r="R25" s="1639"/>
      <c r="S25" s="1639"/>
      <c r="T25" s="1639"/>
      <c r="U25" s="1639"/>
      <c r="V25" s="1639"/>
      <c r="W25" s="601"/>
    </row>
    <row r="26" spans="2:23" s="485" customFormat="1" ht="15" customHeight="1" x14ac:dyDescent="0.3">
      <c r="B26" s="602"/>
      <c r="C26" s="1640" t="s">
        <v>368</v>
      </c>
      <c r="D26" s="1640"/>
      <c r="E26" s="1640"/>
      <c r="F26" s="1640"/>
      <c r="G26" s="1640"/>
      <c r="H26" s="1640"/>
      <c r="I26" s="1640"/>
      <c r="J26" s="1640"/>
      <c r="K26" s="594"/>
      <c r="L26" s="594"/>
      <c r="M26" s="594" t="s">
        <v>369</v>
      </c>
      <c r="N26" s="594"/>
      <c r="O26" s="594"/>
      <c r="P26" s="594"/>
      <c r="Q26" s="594"/>
      <c r="R26" s="1641"/>
      <c r="S26" s="1642"/>
      <c r="T26" s="1642"/>
      <c r="U26" s="1642"/>
      <c r="V26" s="1643"/>
      <c r="W26" s="601"/>
    </row>
    <row r="27" spans="2:23" s="485" customFormat="1" ht="15" customHeight="1" x14ac:dyDescent="0.3">
      <c r="B27" s="602"/>
      <c r="C27" s="1655" t="str">
        <f>IF(NOT(ISBLANK(Worksheet!F18)),Worksheet!F18,"")</f>
        <v/>
      </c>
      <c r="D27" s="1655"/>
      <c r="E27" s="1655"/>
      <c r="F27" s="1655"/>
      <c r="G27" s="1655"/>
      <c r="H27" s="1655"/>
      <c r="I27" s="1655"/>
      <c r="J27" s="1655"/>
      <c r="K27" s="535"/>
      <c r="L27" s="597"/>
      <c r="M27" s="1669" t="str">
        <f>IF(NOT(ISBLANK(Worksheet!M18)),Worksheet!M18,"")</f>
        <v/>
      </c>
      <c r="N27" s="1669"/>
      <c r="O27" s="1669"/>
      <c r="P27" s="1669"/>
      <c r="Q27" s="594"/>
      <c r="R27" s="1644"/>
      <c r="S27" s="1645"/>
      <c r="T27" s="1645"/>
      <c r="U27" s="1645"/>
      <c r="V27" s="1646"/>
      <c r="W27" s="601"/>
    </row>
    <row r="28" spans="2:23" s="485" customFormat="1" ht="15" customHeight="1" x14ac:dyDescent="0.3">
      <c r="B28" s="602"/>
      <c r="C28" s="1655" t="str">
        <f>IF(NOT(ISBLANK(Worksheet!F19)),Worksheet!F19,"")</f>
        <v/>
      </c>
      <c r="D28" s="1655"/>
      <c r="E28" s="1655"/>
      <c r="F28" s="1655"/>
      <c r="G28" s="1655"/>
      <c r="H28" s="1655"/>
      <c r="I28" s="1655"/>
      <c r="J28" s="1655"/>
      <c r="K28" s="535"/>
      <c r="L28" s="597"/>
      <c r="M28" s="1669" t="str">
        <f>IF(NOT(ISBLANK(Worksheet!M19)),Worksheet!M19,"")</f>
        <v/>
      </c>
      <c r="N28" s="1669"/>
      <c r="O28" s="1669"/>
      <c r="P28" s="1669"/>
      <c r="Q28" s="594"/>
      <c r="R28" s="1644"/>
      <c r="S28" s="1645"/>
      <c r="T28" s="1645"/>
      <c r="U28" s="1645"/>
      <c r="V28" s="1646"/>
      <c r="W28" s="601"/>
    </row>
    <row r="29" spans="2:23" s="485" customFormat="1" ht="15" customHeight="1" x14ac:dyDescent="0.3">
      <c r="B29" s="602"/>
      <c r="C29" s="1655" t="str">
        <f>IF(NOT(ISBLANK(Worksheet!F20)),Worksheet!F20,"")</f>
        <v/>
      </c>
      <c r="D29" s="1655"/>
      <c r="E29" s="1655"/>
      <c r="F29" s="1655"/>
      <c r="G29" s="1655"/>
      <c r="H29" s="1655"/>
      <c r="I29" s="1655"/>
      <c r="J29" s="1655"/>
      <c r="K29" s="535"/>
      <c r="L29" s="597"/>
      <c r="M29" s="1669" t="str">
        <f>IF(NOT(ISBLANK(Worksheet!M20)),Worksheet!M20,"")</f>
        <v/>
      </c>
      <c r="N29" s="1669"/>
      <c r="O29" s="1669"/>
      <c r="P29" s="1669"/>
      <c r="Q29" s="594"/>
      <c r="R29" s="1644"/>
      <c r="S29" s="1645"/>
      <c r="T29" s="1645"/>
      <c r="U29" s="1645"/>
      <c r="V29" s="1646"/>
      <c r="W29" s="601"/>
    </row>
    <row r="30" spans="2:23" s="485" customFormat="1" ht="15" customHeight="1" x14ac:dyDescent="0.3">
      <c r="B30" s="602"/>
      <c r="C30" s="1655" t="str">
        <f>IF(NOT(ISBLANK(Worksheet!F21)),Worksheet!F21,"")</f>
        <v/>
      </c>
      <c r="D30" s="1655"/>
      <c r="E30" s="1655"/>
      <c r="F30" s="1655"/>
      <c r="G30" s="1655"/>
      <c r="H30" s="1655"/>
      <c r="I30" s="1655"/>
      <c r="J30" s="1655"/>
      <c r="K30" s="535"/>
      <c r="L30" s="597"/>
      <c r="M30" s="1669" t="str">
        <f>IF(NOT(ISBLANK(Worksheet!M21)),Worksheet!M21,"")</f>
        <v/>
      </c>
      <c r="N30" s="1669"/>
      <c r="O30" s="1669"/>
      <c r="P30" s="1669"/>
      <c r="Q30" s="594"/>
      <c r="R30" s="1647"/>
      <c r="S30" s="1648"/>
      <c r="T30" s="1648"/>
      <c r="U30" s="1648"/>
      <c r="V30" s="1649"/>
      <c r="W30" s="601"/>
    </row>
    <row r="31" spans="2:23" s="485" customFormat="1" ht="15" customHeight="1" x14ac:dyDescent="0.3">
      <c r="B31" s="602"/>
      <c r="C31" s="1655" t="str">
        <f>IF(NOT(ISBLANK(Worksheet!F22)),Worksheet!F22,"")</f>
        <v/>
      </c>
      <c r="D31" s="1655"/>
      <c r="E31" s="1655"/>
      <c r="F31" s="1655"/>
      <c r="G31" s="1655"/>
      <c r="H31" s="1655"/>
      <c r="I31" s="1655"/>
      <c r="J31" s="1655"/>
      <c r="K31" s="535"/>
      <c r="L31" s="597"/>
      <c r="M31" s="1669" t="str">
        <f>IF(NOT(ISBLANK(Worksheet!M22)),Worksheet!M22,"")</f>
        <v/>
      </c>
      <c r="N31" s="1669"/>
      <c r="O31" s="1669"/>
      <c r="P31" s="1669"/>
      <c r="Q31" s="594"/>
      <c r="R31" s="536"/>
      <c r="S31" s="536"/>
      <c r="T31" s="536"/>
      <c r="U31" s="536"/>
      <c r="V31" s="536"/>
      <c r="W31" s="601"/>
    </row>
    <row r="32" spans="2:23" s="485" customFormat="1" ht="15" customHeight="1" x14ac:dyDescent="0.3">
      <c r="B32" s="602"/>
      <c r="C32" s="1655" t="str">
        <f>IF(NOT(ISBLANK(Worksheet!F23)),Worksheet!F23,"")</f>
        <v/>
      </c>
      <c r="D32" s="1655"/>
      <c r="E32" s="1655"/>
      <c r="F32" s="1655"/>
      <c r="G32" s="1655"/>
      <c r="H32" s="1655"/>
      <c r="I32" s="1655"/>
      <c r="J32" s="1655"/>
      <c r="K32" s="535"/>
      <c r="L32" s="597"/>
      <c r="M32" s="1669" t="str">
        <f>IF(NOT(ISBLANK(Worksheet!M23)),Worksheet!M23,"")</f>
        <v/>
      </c>
      <c r="N32" s="1669"/>
      <c r="O32" s="1669"/>
      <c r="P32" s="1669"/>
      <c r="Q32" s="594"/>
      <c r="R32" s="536"/>
      <c r="S32" s="536"/>
      <c r="T32" s="536"/>
      <c r="U32" s="536"/>
      <c r="V32" s="536"/>
      <c r="W32" s="601"/>
    </row>
    <row r="33" spans="2:23" s="485" customFormat="1" ht="4.2" customHeight="1" x14ac:dyDescent="0.3">
      <c r="B33" s="532"/>
      <c r="C33" s="598"/>
      <c r="D33" s="598"/>
      <c r="E33" s="598"/>
      <c r="F33" s="598"/>
      <c r="G33" s="598"/>
      <c r="H33" s="598"/>
      <c r="I33" s="598"/>
      <c r="J33" s="598"/>
      <c r="K33" s="598"/>
      <c r="L33" s="598"/>
      <c r="M33" s="598"/>
      <c r="N33" s="598"/>
      <c r="O33" s="598"/>
      <c r="P33" s="598"/>
      <c r="Q33" s="598"/>
      <c r="R33" s="598"/>
      <c r="S33" s="598"/>
      <c r="T33" s="598"/>
      <c r="U33" s="598"/>
      <c r="V33" s="598"/>
      <c r="W33" s="537"/>
    </row>
    <row r="34" spans="2:23" s="485" customFormat="1" ht="17.25" customHeight="1" x14ac:dyDescent="0.3">
      <c r="B34" s="594"/>
      <c r="C34" s="1639" t="s">
        <v>370</v>
      </c>
      <c r="D34" s="1639"/>
      <c r="E34" s="1639"/>
      <c r="F34" s="1639"/>
      <c r="G34" s="1639"/>
      <c r="H34" s="1639"/>
      <c r="I34" s="1639"/>
      <c r="J34" s="1639"/>
      <c r="K34" s="1639"/>
      <c r="L34" s="1639"/>
      <c r="M34" s="1639"/>
      <c r="N34" s="1639"/>
      <c r="O34" s="1639"/>
      <c r="P34" s="1639"/>
      <c r="Q34" s="1639"/>
      <c r="R34" s="1639"/>
      <c r="S34" s="1639"/>
      <c r="T34" s="1639"/>
      <c r="U34" s="1639"/>
      <c r="V34" s="1639"/>
      <c r="W34" s="595"/>
    </row>
    <row r="35" spans="2:23" s="485" customFormat="1" ht="27.6" customHeight="1" x14ac:dyDescent="0.3">
      <c r="B35" s="594"/>
      <c r="C35" s="1670" t="str">
        <f>"This document is based on the support order from " &amp; County!D11 &amp; " (State/Tribe).
You are required by law to deduct these amounts from the employee/obligor's income until further notice."</f>
        <v>This document is based on the support order from Arizona (State/Tribe).
You are required by law to deduct these amounts from the employee/obligor's income until further notice.</v>
      </c>
      <c r="D35" s="1670"/>
      <c r="E35" s="1670"/>
      <c r="F35" s="1670"/>
      <c r="G35" s="1670"/>
      <c r="H35" s="1670"/>
      <c r="I35" s="1670"/>
      <c r="J35" s="1670"/>
      <c r="K35" s="1670"/>
      <c r="L35" s="1670"/>
      <c r="M35" s="1670"/>
      <c r="N35" s="1670"/>
      <c r="O35" s="1670"/>
      <c r="P35" s="1670"/>
      <c r="Q35" s="1670"/>
      <c r="R35" s="1670"/>
      <c r="S35" s="1670"/>
      <c r="T35" s="1670"/>
      <c r="U35" s="1670"/>
      <c r="V35" s="1670"/>
      <c r="W35" s="594"/>
    </row>
    <row r="36" spans="2:23" s="485" customFormat="1" ht="14.1" customHeight="1" x14ac:dyDescent="0.3">
      <c r="B36" s="594"/>
      <c r="C36" s="1671" t="str">
        <f>IF(D7="x","",IF(S7="x",0,IF(NOT(ISBLANK(Worksheet!R124)),Worksheet!R124,"")))</f>
        <v/>
      </c>
      <c r="D36" s="1671"/>
      <c r="E36" s="1671"/>
      <c r="F36" s="1672"/>
      <c r="G36" s="704" t="s">
        <v>371</v>
      </c>
      <c r="H36" s="1673" t="str">
        <f t="shared" ref="H36:H41" si="0">IF(ISNUMBER(C36),"Month","")</f>
        <v/>
      </c>
      <c r="I36" s="1673"/>
      <c r="J36" s="594" t="s">
        <v>372</v>
      </c>
      <c r="K36" s="594"/>
      <c r="L36" s="594"/>
      <c r="M36" s="594"/>
      <c r="N36" s="594"/>
      <c r="O36" s="594"/>
      <c r="P36" s="594"/>
      <c r="Q36" s="594"/>
      <c r="R36" s="594"/>
      <c r="S36" s="594"/>
      <c r="T36" s="594"/>
      <c r="U36" s="594"/>
      <c r="V36" s="594"/>
      <c r="W36" s="594"/>
    </row>
    <row r="37" spans="2:23" s="485" customFormat="1" ht="14.1" customHeight="1" x14ac:dyDescent="0.3">
      <c r="B37" s="594"/>
      <c r="C37" s="1671" t="str">
        <f>IF(D7="x","",IF(S7="x",0,IF(OR(NOT(ISBLANK(Worksheet!R125)),NOT(ISBLANK(Worksheet!R126))),Worksheet!R125+Worksheet!R126,"")))</f>
        <v/>
      </c>
      <c r="D37" s="1671"/>
      <c r="E37" s="1671"/>
      <c r="F37" s="1672"/>
      <c r="G37" s="704" t="s">
        <v>371</v>
      </c>
      <c r="H37" s="1674" t="str">
        <f t="shared" si="0"/>
        <v/>
      </c>
      <c r="I37" s="1674"/>
      <c r="J37" s="594" t="s">
        <v>373</v>
      </c>
      <c r="K37" s="594"/>
      <c r="L37" s="594"/>
      <c r="M37" s="594"/>
      <c r="N37" s="594"/>
      <c r="O37" s="594"/>
      <c r="P37" s="594"/>
      <c r="Q37" s="594"/>
      <c r="R37" s="594"/>
      <c r="S37" s="538" t="str">
        <f>IF(NOT(ISBLANK(Worksheet!Q298)),Worksheet!Q298,"")</f>
        <v/>
      </c>
      <c r="T37" s="594" t="s">
        <v>236</v>
      </c>
      <c r="U37" s="538" t="str">
        <f>IF(NOT(ISBLANK(Worksheet!T298)),Worksheet!T298,"")</f>
        <v/>
      </c>
      <c r="V37" s="594" t="s">
        <v>237</v>
      </c>
      <c r="W37" s="594"/>
    </row>
    <row r="38" spans="2:23" s="485" customFormat="1" ht="14.1" customHeight="1" x14ac:dyDescent="0.3">
      <c r="B38" s="594"/>
      <c r="C38" s="1671" t="str">
        <f>IF(D7="x","",IF(S7="x",0,IF(NOT(ISBLANK(Worksheet!H258)),Worksheet!H258,"")))</f>
        <v/>
      </c>
      <c r="D38" s="1671"/>
      <c r="E38" s="1671"/>
      <c r="F38" s="1672"/>
      <c r="G38" s="704" t="s">
        <v>371</v>
      </c>
      <c r="H38" s="1674" t="str">
        <f t="shared" si="0"/>
        <v/>
      </c>
      <c r="I38" s="1674"/>
      <c r="J38" s="594" t="s">
        <v>374</v>
      </c>
      <c r="K38" s="594"/>
      <c r="L38" s="594"/>
      <c r="M38" s="594"/>
      <c r="N38" s="594"/>
      <c r="O38" s="594"/>
      <c r="P38" s="594"/>
      <c r="Q38" s="594"/>
      <c r="R38" s="594"/>
      <c r="S38" s="594"/>
      <c r="T38" s="594"/>
      <c r="U38" s="594"/>
      <c r="V38" s="594"/>
      <c r="W38" s="594"/>
    </row>
    <row r="39" spans="2:23" s="485" customFormat="1" ht="14.1" customHeight="1" x14ac:dyDescent="0.3">
      <c r="B39" s="594"/>
      <c r="C39" s="1671" t="str">
        <f>IF(D7="x","",IF(S7="x",0,IF(NOT(ISBLANK(Worksheet!S262)),Worksheet!S262,"")))</f>
        <v/>
      </c>
      <c r="D39" s="1671"/>
      <c r="E39" s="1671"/>
      <c r="F39" s="1672"/>
      <c r="G39" s="704" t="s">
        <v>371</v>
      </c>
      <c r="H39" s="1674" t="str">
        <f t="shared" si="0"/>
        <v/>
      </c>
      <c r="I39" s="1674"/>
      <c r="J39" s="594" t="s">
        <v>375</v>
      </c>
      <c r="K39" s="594"/>
      <c r="L39" s="594"/>
      <c r="M39" s="594"/>
      <c r="N39" s="594"/>
      <c r="O39" s="594"/>
      <c r="P39" s="594"/>
      <c r="Q39" s="594"/>
      <c r="R39" s="594"/>
      <c r="S39" s="594"/>
      <c r="T39" s="594"/>
      <c r="U39" s="594"/>
      <c r="V39" s="594"/>
      <c r="W39" s="594"/>
    </row>
    <row r="40" spans="2:23" s="485" customFormat="1" ht="14.1" customHeight="1" x14ac:dyDescent="0.3">
      <c r="B40" s="594"/>
      <c r="C40" s="1671" t="str">
        <f>IF(D7="x","",IF(S7="x",0,IF(NOT(ISBLANK(Worksheet!R128)),Worksheet!R128,"")))</f>
        <v/>
      </c>
      <c r="D40" s="1671"/>
      <c r="E40" s="1671"/>
      <c r="F40" s="1672"/>
      <c r="G40" s="704" t="s">
        <v>371</v>
      </c>
      <c r="H40" s="1674" t="str">
        <f t="shared" si="0"/>
        <v/>
      </c>
      <c r="I40" s="1674"/>
      <c r="J40" s="594" t="s">
        <v>376</v>
      </c>
      <c r="K40" s="594"/>
      <c r="L40" s="594"/>
      <c r="M40" s="594"/>
      <c r="N40" s="594"/>
      <c r="O40" s="594"/>
      <c r="P40" s="594"/>
      <c r="Q40" s="594"/>
      <c r="R40" s="594"/>
      <c r="S40" s="594"/>
      <c r="T40" s="594"/>
      <c r="U40" s="594"/>
      <c r="V40" s="594"/>
      <c r="W40" s="594"/>
    </row>
    <row r="41" spans="2:23" s="485" customFormat="1" ht="14.1" customHeight="1" x14ac:dyDescent="0.3">
      <c r="B41" s="594"/>
      <c r="C41" s="1671" t="str">
        <f>IF(D7="x","",IF(S7="x",0,IF(NOT(ISBLANK(Worksheet!R129)),Worksheet!R129,"")))</f>
        <v/>
      </c>
      <c r="D41" s="1671"/>
      <c r="E41" s="1671"/>
      <c r="F41" s="1672"/>
      <c r="G41" s="704" t="s">
        <v>371</v>
      </c>
      <c r="H41" s="1674" t="str">
        <f t="shared" si="0"/>
        <v/>
      </c>
      <c r="I41" s="1674"/>
      <c r="J41" s="594" t="s">
        <v>377</v>
      </c>
      <c r="K41" s="594"/>
      <c r="L41" s="594"/>
      <c r="M41" s="594"/>
      <c r="N41" s="594"/>
      <c r="O41" s="594"/>
      <c r="P41" s="594"/>
      <c r="Q41" s="594"/>
      <c r="R41" s="594"/>
      <c r="S41" s="594"/>
      <c r="T41" s="594"/>
      <c r="U41" s="594"/>
      <c r="V41" s="594"/>
      <c r="W41" s="594"/>
    </row>
    <row r="42" spans="2:23" s="485" customFormat="1" ht="14.1" customHeight="1" x14ac:dyDescent="0.3">
      <c r="B42" s="594"/>
      <c r="C42" s="1671">
        <f>IF(S7="x",0,IF(NOT(ISBLANK(County!D34)),County!D34,""))</f>
        <v>8</v>
      </c>
      <c r="D42" s="1671"/>
      <c r="E42" s="1671"/>
      <c r="F42" s="1672"/>
      <c r="G42" s="704" t="s">
        <v>371</v>
      </c>
      <c r="H42" s="1674" t="str">
        <f>IF(D7="x","Payment",IF(ISNUMBER(C42),"Month",""))</f>
        <v>Month</v>
      </c>
      <c r="I42" s="1674"/>
      <c r="J42" s="1640" t="s">
        <v>378</v>
      </c>
      <c r="K42" s="1640"/>
      <c r="L42" s="1640"/>
      <c r="M42" s="1655" t="str">
        <f>IF(NOT(ISBLANK(County!D33)),"  "&amp;County!D33,"")</f>
        <v xml:space="preserve">  Clearinghouse Fee</v>
      </c>
      <c r="N42" s="1655"/>
      <c r="O42" s="1655"/>
      <c r="P42" s="1655"/>
      <c r="Q42" s="1655"/>
      <c r="R42" s="1655"/>
      <c r="S42" s="594"/>
      <c r="T42" s="594"/>
      <c r="U42" s="594"/>
      <c r="V42" s="594"/>
      <c r="W42" s="594"/>
    </row>
    <row r="43" spans="2:23" s="485" customFormat="1" ht="14.1" customHeight="1" x14ac:dyDescent="0.3">
      <c r="B43" s="594"/>
      <c r="C43" s="1676" t="s">
        <v>379</v>
      </c>
      <c r="D43" s="1676"/>
      <c r="E43" s="1676"/>
      <c r="F43" s="1676"/>
      <c r="G43" s="1676"/>
      <c r="H43" s="1676"/>
      <c r="I43" s="1676"/>
      <c r="J43" s="1675">
        <f>IF(D7="x",County!D34,IF(S7="x","$     0.00",IF(NOT(ISBLANK(Worksheet!R133)),Worksheet!R133,"")))</f>
        <v>8</v>
      </c>
      <c r="K43" s="1675"/>
      <c r="L43" s="1675"/>
      <c r="M43" s="1667" t="str">
        <f>IF(D7="x","per payment.","per Month.")</f>
        <v>per Month.</v>
      </c>
      <c r="N43" s="1667"/>
      <c r="O43" s="594"/>
      <c r="P43" s="599"/>
      <c r="Q43" s="594"/>
      <c r="R43" s="594"/>
      <c r="S43" s="594"/>
      <c r="T43" s="594"/>
      <c r="U43" s="594"/>
      <c r="V43" s="594"/>
      <c r="W43" s="594"/>
    </row>
    <row r="44" spans="2:23" s="485" customFormat="1" ht="4.95" customHeight="1" x14ac:dyDescent="0.3">
      <c r="B44" s="594"/>
      <c r="C44" s="594"/>
      <c r="D44" s="594"/>
      <c r="E44" s="594"/>
      <c r="F44" s="594"/>
      <c r="G44" s="594"/>
      <c r="H44" s="594"/>
      <c r="I44" s="594"/>
      <c r="J44" s="594"/>
      <c r="K44" s="594"/>
      <c r="L44" s="594"/>
      <c r="M44" s="594"/>
      <c r="N44" s="594"/>
      <c r="O44" s="594"/>
      <c r="P44" s="594"/>
      <c r="Q44" s="594"/>
      <c r="R44" s="594"/>
      <c r="S44" s="594"/>
      <c r="T44" s="594"/>
      <c r="U44" s="594"/>
      <c r="V44" s="594"/>
      <c r="W44" s="594"/>
    </row>
    <row r="45" spans="2:23" s="485" customFormat="1" ht="14.4" x14ac:dyDescent="0.3">
      <c r="B45" s="594"/>
      <c r="C45" s="1639" t="s">
        <v>380</v>
      </c>
      <c r="D45" s="1639"/>
      <c r="E45" s="1639"/>
      <c r="F45" s="1639"/>
      <c r="G45" s="1639"/>
      <c r="H45" s="1639"/>
      <c r="I45" s="1639"/>
      <c r="J45" s="1639"/>
      <c r="K45" s="1639"/>
      <c r="L45" s="1639"/>
      <c r="M45" s="1639"/>
      <c r="N45" s="1639"/>
      <c r="O45" s="1639"/>
      <c r="P45" s="1639"/>
      <c r="Q45" s="1639"/>
      <c r="R45" s="1639"/>
      <c r="S45" s="1639"/>
      <c r="T45" s="1639"/>
      <c r="U45" s="1639"/>
      <c r="V45" s="1639"/>
      <c r="W45" s="594"/>
    </row>
    <row r="46" spans="2:23" s="485" customFormat="1" ht="31.95" customHeight="1" x14ac:dyDescent="0.3">
      <c r="B46" s="594"/>
      <c r="C46" s="1670" t="s">
        <v>381</v>
      </c>
      <c r="D46" s="1670"/>
      <c r="E46" s="1670"/>
      <c r="F46" s="1670"/>
      <c r="G46" s="1670"/>
      <c r="H46" s="1670"/>
      <c r="I46" s="1670"/>
      <c r="J46" s="1670"/>
      <c r="K46" s="1670"/>
      <c r="L46" s="1670"/>
      <c r="M46" s="1670"/>
      <c r="N46" s="1670"/>
      <c r="O46" s="1670"/>
      <c r="P46" s="1670"/>
      <c r="Q46" s="1670"/>
      <c r="R46" s="1670"/>
      <c r="S46" s="1670"/>
      <c r="T46" s="1670"/>
      <c r="U46" s="1670"/>
      <c r="V46" s="1670"/>
      <c r="W46" s="594"/>
    </row>
    <row r="47" spans="2:23" s="485" customFormat="1" ht="14.1" customHeight="1" x14ac:dyDescent="0.3">
      <c r="B47" s="594"/>
      <c r="C47" s="1671">
        <f>IF(D7="X","",IF(S7="x",0,J43*12/52))</f>
        <v>1.8461538461538463</v>
      </c>
      <c r="D47" s="1671"/>
      <c r="E47" s="1671"/>
      <c r="F47" s="1683"/>
      <c r="G47" s="594" t="s">
        <v>382</v>
      </c>
      <c r="H47" s="594"/>
      <c r="I47" s="594"/>
      <c r="J47" s="594"/>
      <c r="K47" s="594"/>
      <c r="L47" s="594"/>
      <c r="M47" s="594"/>
      <c r="N47" s="1671">
        <f>IF(D7="X","",IF(S7="x",0,J43/2))</f>
        <v>4</v>
      </c>
      <c r="O47" s="1671"/>
      <c r="P47" s="1684" t="s">
        <v>383</v>
      </c>
      <c r="Q47" s="1640"/>
      <c r="R47" s="1640"/>
      <c r="S47" s="1640"/>
      <c r="T47" s="1640"/>
      <c r="U47" s="1640"/>
      <c r="V47" s="1640"/>
      <c r="W47" s="1640"/>
    </row>
    <row r="48" spans="2:23" s="485" customFormat="1" ht="14.1" customHeight="1" x14ac:dyDescent="0.3">
      <c r="B48" s="594"/>
      <c r="C48" s="1671">
        <f>IF(D7="X","",IF(S7="x",0,J43*12/26))</f>
        <v>3.6923076923076925</v>
      </c>
      <c r="D48" s="1671"/>
      <c r="E48" s="1671"/>
      <c r="F48" s="1672"/>
      <c r="G48" s="594" t="s">
        <v>384</v>
      </c>
      <c r="H48" s="594"/>
      <c r="I48" s="594"/>
      <c r="J48" s="594"/>
      <c r="K48" s="594"/>
      <c r="L48" s="594"/>
      <c r="M48" s="594"/>
      <c r="N48" s="1671">
        <f>IF(D7="X","",IF(S7="x",0,J43))</f>
        <v>8</v>
      </c>
      <c r="O48" s="1671"/>
      <c r="P48" s="1684" t="s">
        <v>385</v>
      </c>
      <c r="Q48" s="1640"/>
      <c r="R48" s="1640"/>
      <c r="S48" s="1640"/>
      <c r="T48" s="1640"/>
      <c r="U48" s="1640"/>
      <c r="V48" s="1640"/>
      <c r="W48" s="1640"/>
    </row>
    <row r="49" spans="2:23" s="485" customFormat="1" ht="14.1" customHeight="1" x14ac:dyDescent="0.3">
      <c r="B49" s="594"/>
      <c r="C49" s="1671" t="str">
        <f>IF(AND(NOT(ISBLANK(Worksheet!G269)),NOT(ISBLANK(Worksheet!U269))),Worksheet!U269,"")</f>
        <v/>
      </c>
      <c r="D49" s="1671"/>
      <c r="E49" s="1671"/>
      <c r="F49" s="1672"/>
      <c r="G49" s="594" t="s">
        <v>386</v>
      </c>
      <c r="H49" s="594"/>
      <c r="I49" s="594"/>
      <c r="J49" s="594"/>
      <c r="K49" s="594"/>
      <c r="L49" s="594"/>
      <c r="M49" s="594"/>
      <c r="N49" s="594"/>
      <c r="O49" s="594"/>
      <c r="P49" s="594"/>
      <c r="Q49" s="594"/>
      <c r="R49" s="594"/>
      <c r="S49" s="594"/>
      <c r="T49" s="594"/>
      <c r="U49" s="594"/>
      <c r="V49" s="594"/>
      <c r="W49" s="594"/>
    </row>
    <row r="50" spans="2:23" s="485" customFormat="1" ht="7.2" customHeight="1" x14ac:dyDescent="0.3">
      <c r="B50" s="594"/>
      <c r="C50" s="539"/>
      <c r="D50" s="539"/>
      <c r="E50" s="539"/>
      <c r="F50" s="594"/>
      <c r="G50" s="594"/>
      <c r="H50" s="594"/>
      <c r="I50" s="594"/>
      <c r="J50" s="594"/>
      <c r="K50" s="594"/>
      <c r="L50" s="594"/>
      <c r="M50" s="594"/>
      <c r="N50" s="594"/>
      <c r="O50" s="594"/>
      <c r="P50" s="594"/>
      <c r="Q50" s="594"/>
      <c r="R50" s="594"/>
      <c r="S50" s="594"/>
      <c r="T50" s="594"/>
      <c r="U50" s="594"/>
      <c r="V50" s="594"/>
      <c r="W50" s="594"/>
    </row>
    <row r="51" spans="2:23" s="485" customFormat="1" ht="14.4" x14ac:dyDescent="0.3">
      <c r="B51" s="594"/>
      <c r="C51" s="814" t="s">
        <v>387</v>
      </c>
      <c r="D51" s="814"/>
      <c r="E51" s="814"/>
      <c r="F51" s="814"/>
      <c r="G51" s="814"/>
      <c r="H51" s="540"/>
      <c r="I51" s="540"/>
      <c r="J51" s="540"/>
      <c r="K51" s="1655" t="str">
        <f>$C$17</f>
        <v/>
      </c>
      <c r="L51" s="1655"/>
      <c r="M51" s="1655"/>
      <c r="N51" s="1655"/>
      <c r="O51" s="1734" t="s">
        <v>388</v>
      </c>
      <c r="P51" s="1734"/>
      <c r="Q51" s="1734"/>
      <c r="R51" s="1734"/>
      <c r="S51" s="1734"/>
      <c r="T51" s="1734"/>
      <c r="U51" s="1668" t="str">
        <f>EmployerFEIN</f>
        <v/>
      </c>
      <c r="V51" s="1668"/>
      <c r="W51" s="1668"/>
    </row>
    <row r="52" spans="2:23" s="485" customFormat="1" ht="14.4" x14ac:dyDescent="0.3">
      <c r="B52" s="594"/>
      <c r="C52" s="814" t="s">
        <v>389</v>
      </c>
      <c r="D52" s="814"/>
      <c r="E52" s="814"/>
      <c r="F52" s="814"/>
      <c r="G52" s="814"/>
      <c r="H52" s="814"/>
      <c r="I52" s="1655" t="str">
        <f>$O$17</f>
        <v/>
      </c>
      <c r="J52" s="1655"/>
      <c r="K52" s="1655"/>
      <c r="L52" s="1655"/>
      <c r="M52" s="1655"/>
      <c r="N52" s="1655"/>
      <c r="O52" s="1655"/>
      <c r="P52" s="1655"/>
      <c r="Q52" s="541"/>
      <c r="R52" s="709" t="s">
        <v>390</v>
      </c>
      <c r="S52" s="1663" t="str">
        <f xml:space="preserve"> $O$19</f>
        <v/>
      </c>
      <c r="T52" s="1677"/>
      <c r="U52" s="1677"/>
      <c r="V52" s="1677"/>
      <c r="W52" s="1677"/>
    </row>
    <row r="53" spans="2:23" s="485" customFormat="1" ht="14.4" x14ac:dyDescent="0.3">
      <c r="B53" s="594"/>
      <c r="C53" s="814" t="s">
        <v>391</v>
      </c>
      <c r="D53" s="814"/>
      <c r="E53" s="814"/>
      <c r="F53" s="814"/>
      <c r="G53" s="1668" t="str">
        <f>$O$15</f>
        <v/>
      </c>
      <c r="H53" s="1668"/>
      <c r="I53" s="1668"/>
      <c r="J53" s="1668"/>
      <c r="K53" s="1668"/>
      <c r="L53" s="1668"/>
      <c r="M53" s="1668"/>
      <c r="N53" s="1668"/>
      <c r="O53" s="1678" t="s">
        <v>392</v>
      </c>
      <c r="P53" s="1678"/>
      <c r="Q53" s="1679"/>
      <c r="R53" s="1668" t="str">
        <f>CaseNumber</f>
        <v/>
      </c>
      <c r="S53" s="1668"/>
      <c r="T53" s="1668"/>
      <c r="U53" s="1668"/>
      <c r="V53" s="1668"/>
      <c r="W53" s="1668"/>
    </row>
    <row r="54" spans="2:23" s="485" customFormat="1" ht="28.95" customHeight="1" x14ac:dyDescent="0.3">
      <c r="B54" s="390"/>
      <c r="C54" s="1680" t="s">
        <v>393</v>
      </c>
      <c r="D54" s="1680"/>
      <c r="E54" s="1680"/>
      <c r="F54" s="1680"/>
      <c r="G54" s="1680"/>
      <c r="H54" s="1680"/>
      <c r="I54" s="1680"/>
      <c r="J54" s="1680"/>
      <c r="K54" s="1680"/>
      <c r="L54" s="1680"/>
      <c r="M54" s="1680"/>
      <c r="N54" s="1680"/>
      <c r="O54" s="1680"/>
      <c r="P54" s="1680"/>
      <c r="Q54" s="1680"/>
      <c r="R54" s="1680"/>
      <c r="S54" s="1680"/>
      <c r="T54" s="1680"/>
      <c r="U54" s="1680"/>
      <c r="V54" s="1680"/>
      <c r="W54" s="1680"/>
    </row>
    <row r="55" spans="2:23" s="485" customFormat="1" ht="86.4" customHeight="1" x14ac:dyDescent="0.3">
      <c r="B55" s="594"/>
      <c r="C55" s="1681" t="str">
        <f>"If the employee/obligor's principal place of employment is "&amp;County!D14&amp;" (State/Tribe), you must begin withholding no later than the first pay period that occurs "&amp;County!D15&amp;" days after the date of "&amp;County!D16&amp;".  Send payment within "&amp;County!D17&amp;" working business days of the pay date.  If you cannot withhold the full amount of support for any or all orders for this employee/obligor, withhold up to "&amp;County!D18&amp;" of disposable income for all orders.  If the employee/obligor's principal place of employment is not "&amp;County!D14&amp;" (State/Tribe), obtain withholding limitations, time requirements, the appropriate method to allocate among multiple child support cases/orders and any allowable employer fees from the jurisdiciton of the employee/obligor's principal place of employement."</f>
        <v>If the employee/obligor's principal place of employment is Arizona (State/Tribe), you must begin withholding no later than the first pay period that occurs fourteen (14) days after the date of receipt of this Order.  Send payment within two (2) working business days of the pay date.  If you cannot withhold the full amount of support for any or all orders for this employee/obligor, withhold up to fifty percent (50%) of disposable income for all orders.  If the employee/obligor's principal place of employment is not Arizona (State/Tribe), obtain withholding limitations, time requirements, the appropriate method to allocate among multiple child support cases/orders and any allowable employer fees from the jurisdiciton of the employee/obligor's principal place of employement.</v>
      </c>
      <c r="D55" s="1682"/>
      <c r="E55" s="1682"/>
      <c r="F55" s="1682"/>
      <c r="G55" s="1682"/>
      <c r="H55" s="1682"/>
      <c r="I55" s="1682"/>
      <c r="J55" s="1682"/>
      <c r="K55" s="1682"/>
      <c r="L55" s="1682"/>
      <c r="M55" s="1682"/>
      <c r="N55" s="1682"/>
      <c r="O55" s="1682"/>
      <c r="P55" s="1682"/>
      <c r="Q55" s="1682"/>
      <c r="R55" s="1682"/>
      <c r="S55" s="1682"/>
      <c r="T55" s="1682"/>
      <c r="U55" s="1682"/>
      <c r="V55" s="1682"/>
      <c r="W55" s="1682"/>
    </row>
    <row r="56" spans="2:23" s="485" customFormat="1" ht="57.6" customHeight="1" x14ac:dyDescent="0.3">
      <c r="B56" s="594"/>
      <c r="C56" s="1681" t="s">
        <v>394</v>
      </c>
      <c r="D56" s="1681"/>
      <c r="E56" s="1681"/>
      <c r="F56" s="1681"/>
      <c r="G56" s="1681"/>
      <c r="H56" s="1681"/>
      <c r="I56" s="1681"/>
      <c r="J56" s="1681"/>
      <c r="K56" s="1681"/>
      <c r="L56" s="1681"/>
      <c r="M56" s="1681"/>
      <c r="N56" s="1681"/>
      <c r="O56" s="1681"/>
      <c r="P56" s="1681"/>
      <c r="Q56" s="1681"/>
      <c r="R56" s="1681"/>
      <c r="S56" s="1681"/>
      <c r="T56" s="1681"/>
      <c r="U56" s="1681"/>
      <c r="V56" s="1681"/>
      <c r="W56" s="715"/>
    </row>
    <row r="57" spans="2:23" s="485" customFormat="1" ht="86.4" customHeight="1" x14ac:dyDescent="0.3">
      <c r="B57" s="594"/>
      <c r="C57" s="1681" t="s">
        <v>395</v>
      </c>
      <c r="D57" s="1681"/>
      <c r="E57" s="1681"/>
      <c r="F57" s="1681"/>
      <c r="G57" s="1681"/>
      <c r="H57" s="1681"/>
      <c r="I57" s="1681"/>
      <c r="J57" s="1681"/>
      <c r="K57" s="1681"/>
      <c r="L57" s="1681"/>
      <c r="M57" s="1681"/>
      <c r="N57" s="1681"/>
      <c r="O57" s="1681"/>
      <c r="P57" s="1681"/>
      <c r="Q57" s="1681"/>
      <c r="R57" s="1681"/>
      <c r="S57" s="1681"/>
      <c r="T57" s="1681"/>
      <c r="U57" s="1681"/>
      <c r="V57" s="1681"/>
      <c r="W57" s="715"/>
    </row>
    <row r="58" spans="2:23" s="485" customFormat="1" ht="43.2" customHeight="1" x14ac:dyDescent="0.3">
      <c r="B58" s="594"/>
      <c r="C58" s="1681" t="s">
        <v>396</v>
      </c>
      <c r="D58" s="1681"/>
      <c r="E58" s="1681"/>
      <c r="F58" s="1681"/>
      <c r="G58" s="1681"/>
      <c r="H58" s="1681"/>
      <c r="I58" s="1681"/>
      <c r="J58" s="1681"/>
      <c r="K58" s="1681"/>
      <c r="L58" s="1681"/>
      <c r="M58" s="1681"/>
      <c r="N58" s="1681"/>
      <c r="O58" s="1681"/>
      <c r="P58" s="1681"/>
      <c r="Q58" s="1681"/>
      <c r="R58" s="1681"/>
      <c r="S58" s="1681"/>
      <c r="T58" s="1681"/>
      <c r="U58" s="1681"/>
      <c r="V58" s="1681"/>
      <c r="W58" s="715"/>
    </row>
    <row r="59" spans="2:23" s="488" customFormat="1" ht="28.95" customHeight="1" x14ac:dyDescent="0.25">
      <c r="B59" s="534"/>
      <c r="C59" s="1685" t="s">
        <v>397</v>
      </c>
      <c r="D59" s="1686"/>
      <c r="E59" s="1686"/>
      <c r="F59" s="1686"/>
      <c r="G59" s="1686"/>
      <c r="H59" s="1686"/>
      <c r="I59" s="1686"/>
      <c r="J59" s="1686"/>
      <c r="K59" s="1686"/>
      <c r="L59" s="1686"/>
      <c r="M59" s="1686"/>
      <c r="N59" s="1686"/>
      <c r="O59" s="1686"/>
      <c r="P59" s="1686"/>
      <c r="Q59" s="1686"/>
      <c r="R59" s="1686"/>
      <c r="S59" s="1686"/>
      <c r="T59" s="1686"/>
      <c r="U59" s="1686"/>
      <c r="V59" s="1686"/>
      <c r="W59" s="1686"/>
    </row>
    <row r="60" spans="2:23" s="485" customFormat="1" ht="7.2" customHeight="1" x14ac:dyDescent="0.3">
      <c r="B60" s="594"/>
      <c r="C60" s="594"/>
      <c r="D60" s="594"/>
      <c r="E60" s="594"/>
      <c r="F60" s="594"/>
      <c r="G60" s="594"/>
      <c r="H60" s="594"/>
      <c r="I60" s="594"/>
      <c r="J60" s="594"/>
      <c r="K60" s="594"/>
      <c r="L60" s="594"/>
      <c r="M60" s="594"/>
      <c r="N60" s="594"/>
      <c r="O60" s="594"/>
      <c r="P60" s="594"/>
      <c r="Q60" s="594"/>
      <c r="R60" s="594"/>
      <c r="S60" s="594"/>
      <c r="T60" s="594"/>
      <c r="U60" s="594"/>
      <c r="V60" s="594"/>
      <c r="W60" s="594"/>
    </row>
    <row r="61" spans="2:23" s="485" customFormat="1" ht="18.75" customHeight="1" x14ac:dyDescent="0.3">
      <c r="B61" s="533"/>
      <c r="C61" s="1666" t="s">
        <v>398</v>
      </c>
      <c r="D61" s="1667"/>
      <c r="E61" s="1667"/>
      <c r="F61" s="1667"/>
      <c r="G61" s="1667"/>
      <c r="H61" s="1666" t="str">
        <f>IF(NOT(ISBLANK(County!D20)),"  " &amp; County!D20,"")</f>
        <v xml:space="preserve">  Support Payment Clearinghouse</v>
      </c>
      <c r="I61" s="1666"/>
      <c r="J61" s="1666"/>
      <c r="K61" s="1666"/>
      <c r="L61" s="1666"/>
      <c r="M61" s="1666"/>
      <c r="N61" s="1666"/>
      <c r="O61" s="1666"/>
      <c r="P61" s="1666"/>
      <c r="Q61" s="1666"/>
      <c r="R61" s="1666"/>
      <c r="S61" s="1667" t="s">
        <v>399</v>
      </c>
      <c r="T61" s="1667"/>
      <c r="U61" s="1667"/>
      <c r="V61" s="1667"/>
      <c r="W61" s="1687"/>
    </row>
    <row r="62" spans="2:23" s="485" customFormat="1" ht="14.4" x14ac:dyDescent="0.3">
      <c r="B62" s="602"/>
      <c r="C62" s="594" t="s">
        <v>400</v>
      </c>
      <c r="D62" s="1639" t="str">
        <f>IF(NOT(ISBLANK(County!D21))," " &amp; County!D21,"")</f>
        <v xml:space="preserve"> P.O. Box 52107, Phoenix, AZ 85072-2107</v>
      </c>
      <c r="E62" s="1639"/>
      <c r="F62" s="1639"/>
      <c r="G62" s="1639"/>
      <c r="H62" s="1639"/>
      <c r="I62" s="1639"/>
      <c r="J62" s="1639"/>
      <c r="K62" s="1639"/>
      <c r="L62" s="1639"/>
      <c r="M62" s="1639"/>
      <c r="N62" s="1639"/>
      <c r="O62" s="1639"/>
      <c r="P62" s="1639"/>
      <c r="Q62" s="1639"/>
      <c r="R62" s="1639"/>
      <c r="S62" s="1640" t="s">
        <v>401</v>
      </c>
      <c r="T62" s="1640"/>
      <c r="U62" s="1640"/>
      <c r="V62" s="1640"/>
      <c r="W62" s="1688"/>
    </row>
    <row r="63" spans="2:23" s="485" customFormat="1" ht="19.5" customHeight="1" x14ac:dyDescent="0.3">
      <c r="B63" s="602"/>
      <c r="C63" s="594" t="s">
        <v>402</v>
      </c>
      <c r="D63" s="594"/>
      <c r="E63" s="594"/>
      <c r="F63" s="594"/>
      <c r="G63" s="594"/>
      <c r="H63" s="594"/>
      <c r="I63" s="594"/>
      <c r="J63" s="594"/>
      <c r="K63" s="594"/>
      <c r="L63" s="594"/>
      <c r="M63" s="594"/>
      <c r="N63" s="594"/>
      <c r="O63" s="594"/>
      <c r="P63" s="594"/>
      <c r="Q63" s="390"/>
      <c r="R63" s="390"/>
      <c r="S63" s="390"/>
      <c r="T63" s="390"/>
      <c r="U63" s="1689" t="str">
        <f>IF(NOT(ISBLANK(County!D19)),County!D19,"")</f>
        <v>013</v>
      </c>
      <c r="V63" s="1689"/>
      <c r="W63" s="601"/>
    </row>
    <row r="64" spans="2:23" s="488" customFormat="1" ht="14.4" customHeight="1" x14ac:dyDescent="0.25">
      <c r="B64" s="542"/>
      <c r="C64" s="534" t="s">
        <v>403</v>
      </c>
      <c r="D64" s="534"/>
      <c r="E64" s="534"/>
      <c r="F64" s="534"/>
      <c r="G64" s="534"/>
      <c r="H64" s="534"/>
      <c r="I64" s="534"/>
      <c r="J64" s="534"/>
      <c r="K64" s="534"/>
      <c r="L64" s="534"/>
      <c r="M64" s="534"/>
      <c r="N64" s="534"/>
      <c r="O64" s="534"/>
      <c r="P64" s="534"/>
      <c r="Q64" s="534"/>
      <c r="R64" s="534"/>
      <c r="S64" s="534"/>
      <c r="T64" s="534"/>
      <c r="U64" s="534"/>
      <c r="V64" s="534"/>
      <c r="W64" s="543"/>
    </row>
    <row r="65" spans="2:23" s="488" customFormat="1" ht="28.95" customHeight="1" x14ac:dyDescent="0.25">
      <c r="B65" s="544"/>
      <c r="C65" s="1690" t="s">
        <v>404</v>
      </c>
      <c r="D65" s="1690"/>
      <c r="E65" s="1690"/>
      <c r="F65" s="1690"/>
      <c r="G65" s="1690"/>
      <c r="H65" s="1690"/>
      <c r="I65" s="1690"/>
      <c r="J65" s="1690"/>
      <c r="K65" s="1690"/>
      <c r="L65" s="1690"/>
      <c r="M65" s="1690"/>
      <c r="N65" s="1690"/>
      <c r="O65" s="1690"/>
      <c r="P65" s="1690"/>
      <c r="Q65" s="1690"/>
      <c r="R65" s="1690"/>
      <c r="S65" s="1690"/>
      <c r="T65" s="1690"/>
      <c r="U65" s="1690"/>
      <c r="V65" s="1690"/>
      <c r="W65" s="545"/>
    </row>
    <row r="66" spans="2:23" s="488" customFormat="1" ht="7.2" customHeight="1" x14ac:dyDescent="0.25">
      <c r="B66" s="534"/>
      <c r="C66" s="714"/>
      <c r="D66" s="714"/>
      <c r="E66" s="714"/>
      <c r="F66" s="714"/>
      <c r="G66" s="714"/>
      <c r="H66" s="714"/>
      <c r="I66" s="714"/>
      <c r="J66" s="714"/>
      <c r="K66" s="714"/>
      <c r="L66" s="714"/>
      <c r="M66" s="714"/>
      <c r="N66" s="714"/>
      <c r="O66" s="714"/>
      <c r="P66" s="714"/>
      <c r="Q66" s="714"/>
      <c r="R66" s="714"/>
      <c r="S66" s="714"/>
      <c r="T66" s="714"/>
      <c r="U66" s="714"/>
      <c r="V66" s="714"/>
      <c r="W66" s="534"/>
    </row>
    <row r="67" spans="2:23" s="485" customFormat="1" ht="14.4" customHeight="1" x14ac:dyDescent="0.3">
      <c r="B67" s="594"/>
      <c r="C67" s="546"/>
      <c r="D67" s="1691" t="s">
        <v>405</v>
      </c>
      <c r="E67" s="1692"/>
      <c r="F67" s="1692"/>
      <c r="G67" s="1692"/>
      <c r="H67" s="1692"/>
      <c r="I67" s="1692"/>
      <c r="J67" s="1692"/>
      <c r="K67" s="1692"/>
      <c r="L67" s="1692"/>
      <c r="M67" s="1692"/>
      <c r="N67" s="1692"/>
      <c r="O67" s="1692"/>
      <c r="P67" s="1692"/>
      <c r="Q67" s="1692"/>
      <c r="R67" s="1692"/>
      <c r="S67" s="1692"/>
      <c r="T67" s="1692"/>
      <c r="U67" s="1692"/>
      <c r="V67" s="1692"/>
      <c r="W67" s="1692"/>
    </row>
    <row r="68" spans="2:23" s="488" customFormat="1" ht="43.2" customHeight="1" x14ac:dyDescent="0.25">
      <c r="B68" s="534"/>
      <c r="C68" s="1670" t="s">
        <v>406</v>
      </c>
      <c r="D68" s="1670"/>
      <c r="E68" s="1670"/>
      <c r="F68" s="1670"/>
      <c r="G68" s="1670"/>
      <c r="H68" s="1670"/>
      <c r="I68" s="1670"/>
      <c r="J68" s="1670"/>
      <c r="K68" s="1670"/>
      <c r="L68" s="1670"/>
      <c r="M68" s="1670"/>
      <c r="N68" s="1670"/>
      <c r="O68" s="1670"/>
      <c r="P68" s="1670"/>
      <c r="Q68" s="1670"/>
      <c r="R68" s="1670"/>
      <c r="S68" s="1670"/>
      <c r="T68" s="1670"/>
      <c r="U68" s="1670"/>
      <c r="V68" s="1670"/>
      <c r="W68" s="1670"/>
    </row>
    <row r="69" spans="2:23" s="488" customFormat="1" ht="7.2" customHeight="1" x14ac:dyDescent="0.25">
      <c r="B69" s="534"/>
      <c r="C69" s="714"/>
      <c r="D69" s="714"/>
      <c r="E69" s="714"/>
      <c r="F69" s="714"/>
      <c r="G69" s="714"/>
      <c r="H69" s="714"/>
      <c r="I69" s="714"/>
      <c r="J69" s="714"/>
      <c r="K69" s="714"/>
      <c r="L69" s="714"/>
      <c r="M69" s="714"/>
      <c r="N69" s="714"/>
      <c r="O69" s="714"/>
      <c r="P69" s="714"/>
      <c r="Q69" s="714"/>
      <c r="R69" s="714"/>
      <c r="S69" s="714"/>
      <c r="T69" s="714"/>
      <c r="U69" s="714"/>
      <c r="V69" s="714"/>
      <c r="W69" s="714"/>
    </row>
    <row r="70" spans="2:23" s="488" customFormat="1" ht="14.4" customHeight="1" x14ac:dyDescent="0.25">
      <c r="B70" s="547"/>
      <c r="C70" s="1693" t="s">
        <v>407</v>
      </c>
      <c r="D70" s="1693"/>
      <c r="E70" s="1693"/>
      <c r="F70" s="1693"/>
      <c r="G70" s="1693"/>
      <c r="H70" s="1693"/>
      <c r="I70" s="1693"/>
      <c r="J70" s="1693"/>
      <c r="K70" s="1693"/>
      <c r="L70" s="1693"/>
      <c r="M70" s="1693"/>
      <c r="N70" s="1693"/>
      <c r="O70" s="1693"/>
      <c r="P70" s="1693"/>
      <c r="Q70" s="1693"/>
      <c r="R70" s="1693"/>
      <c r="S70" s="1693"/>
      <c r="T70" s="1693"/>
      <c r="U70" s="1693"/>
      <c r="V70" s="1693"/>
      <c r="W70" s="548"/>
    </row>
    <row r="71" spans="2:23" s="485" customFormat="1" ht="14.4" customHeight="1" x14ac:dyDescent="0.3">
      <c r="B71" s="602"/>
      <c r="C71" s="594" t="s">
        <v>408</v>
      </c>
      <c r="D71" s="594"/>
      <c r="E71" s="594"/>
      <c r="F71" s="594"/>
      <c r="G71" s="594"/>
      <c r="H71" s="594"/>
      <c r="I71" s="594"/>
      <c r="J71" s="598"/>
      <c r="K71" s="598"/>
      <c r="L71" s="598"/>
      <c r="M71" s="598"/>
      <c r="N71" s="598"/>
      <c r="O71" s="1672"/>
      <c r="P71" s="1672"/>
      <c r="Q71" s="1672"/>
      <c r="R71" s="1672"/>
      <c r="S71" s="1672"/>
      <c r="T71" s="1672"/>
      <c r="U71" s="1672"/>
      <c r="V71" s="1672"/>
      <c r="W71" s="601"/>
    </row>
    <row r="72" spans="2:23" s="485" customFormat="1" ht="14.4" customHeight="1" x14ac:dyDescent="0.3">
      <c r="B72" s="602"/>
      <c r="C72" s="1640" t="s">
        <v>409</v>
      </c>
      <c r="D72" s="1640"/>
      <c r="E72" s="1640"/>
      <c r="F72" s="1640"/>
      <c r="G72" s="1640"/>
      <c r="H72" s="1640"/>
      <c r="I72" s="594"/>
      <c r="J72" s="1655" t="str">
        <f>IF(NOT(ISBLANK(Worksheet!J300)),Worksheet!J300,"")</f>
        <v/>
      </c>
      <c r="K72" s="1655"/>
      <c r="L72" s="1655"/>
      <c r="M72" s="1655"/>
      <c r="N72" s="1655"/>
      <c r="O72" s="1655"/>
      <c r="P72" s="1655"/>
      <c r="Q72" s="1655"/>
      <c r="R72" s="1655"/>
      <c r="S72" s="1655"/>
      <c r="T72" s="1655"/>
      <c r="U72" s="1655"/>
      <c r="V72" s="1655"/>
      <c r="W72" s="601"/>
    </row>
    <row r="73" spans="2:23" s="485" customFormat="1" ht="14.4" customHeight="1" x14ac:dyDescent="0.3">
      <c r="B73" s="602"/>
      <c r="C73" s="1640" t="s">
        <v>239</v>
      </c>
      <c r="D73" s="1640"/>
      <c r="E73" s="1640"/>
      <c r="F73" s="1640"/>
      <c r="G73" s="1640"/>
      <c r="H73" s="1640"/>
      <c r="I73" s="594"/>
      <c r="J73" s="1655" t="str">
        <f>IF(NOT(ISBLANK(Worksheet!J301)),Worksheet!J301,"")</f>
        <v/>
      </c>
      <c r="K73" s="1655"/>
      <c r="L73" s="1655"/>
      <c r="M73" s="1655"/>
      <c r="N73" s="1655"/>
      <c r="O73" s="1655"/>
      <c r="P73" s="1655"/>
      <c r="Q73" s="1655"/>
      <c r="R73" s="1655"/>
      <c r="S73" s="1655"/>
      <c r="T73" s="1655"/>
      <c r="U73" s="1655"/>
      <c r="V73" s="1655"/>
      <c r="W73" s="601"/>
    </row>
    <row r="74" spans="2:23" s="485" customFormat="1" ht="14.4" x14ac:dyDescent="0.3">
      <c r="B74" s="602"/>
      <c r="C74" s="594" t="s">
        <v>410</v>
      </c>
      <c r="D74" s="594"/>
      <c r="E74" s="594"/>
      <c r="F74" s="594"/>
      <c r="G74" s="594"/>
      <c r="H74" s="390"/>
      <c r="I74" s="390"/>
      <c r="J74" s="1697">
        <f ca="1">TODAY()</f>
        <v>44925</v>
      </c>
      <c r="K74" s="1697"/>
      <c r="L74" s="1697"/>
      <c r="M74" s="1697"/>
      <c r="N74" s="1697"/>
      <c r="O74" s="1697"/>
      <c r="P74" s="1697"/>
      <c r="Q74" s="1697"/>
      <c r="R74" s="1697"/>
      <c r="S74" s="1697"/>
      <c r="T74" s="1697"/>
      <c r="U74" s="1697"/>
      <c r="V74" s="1697"/>
      <c r="W74" s="601"/>
    </row>
    <row r="75" spans="2:23" s="485" customFormat="1" ht="4.5" customHeight="1" x14ac:dyDescent="0.3">
      <c r="B75" s="532"/>
      <c r="C75" s="598"/>
      <c r="D75" s="598"/>
      <c r="E75" s="598"/>
      <c r="F75" s="598"/>
      <c r="G75" s="598"/>
      <c r="H75" s="598"/>
      <c r="I75" s="598"/>
      <c r="J75" s="598"/>
      <c r="K75" s="598"/>
      <c r="L75" s="598"/>
      <c r="M75" s="598"/>
      <c r="N75" s="598"/>
      <c r="O75" s="598"/>
      <c r="P75" s="598"/>
      <c r="Q75" s="598"/>
      <c r="R75" s="598"/>
      <c r="S75" s="598"/>
      <c r="T75" s="598"/>
      <c r="U75" s="598"/>
      <c r="V75" s="598"/>
      <c r="W75" s="537"/>
    </row>
    <row r="76" spans="2:23" s="485" customFormat="1" ht="7.2" customHeight="1" x14ac:dyDescent="0.3">
      <c r="B76" s="594"/>
      <c r="C76" s="594"/>
      <c r="D76" s="594"/>
      <c r="E76" s="594"/>
      <c r="F76" s="594"/>
      <c r="G76" s="594"/>
      <c r="H76" s="594"/>
      <c r="I76" s="594"/>
      <c r="J76" s="594"/>
      <c r="K76" s="594"/>
      <c r="L76" s="594"/>
      <c r="M76" s="594"/>
      <c r="N76" s="594"/>
      <c r="O76" s="594"/>
      <c r="P76" s="594"/>
      <c r="Q76" s="594"/>
      <c r="R76" s="594"/>
      <c r="S76" s="594"/>
      <c r="T76" s="594"/>
      <c r="U76" s="594"/>
      <c r="V76" s="594"/>
      <c r="W76" s="594"/>
    </row>
    <row r="77" spans="2:23" s="485" customFormat="1" ht="43.2" customHeight="1" x14ac:dyDescent="0.3">
      <c r="B77" s="594"/>
      <c r="C77" s="1698" t="s">
        <v>411</v>
      </c>
      <c r="D77" s="1698"/>
      <c r="E77" s="1698"/>
      <c r="F77" s="1698"/>
      <c r="G77" s="1698"/>
      <c r="H77" s="1698"/>
      <c r="I77" s="1698"/>
      <c r="J77" s="1698"/>
      <c r="K77" s="1698"/>
      <c r="L77" s="1698"/>
      <c r="M77" s="1698"/>
      <c r="N77" s="1698"/>
      <c r="O77" s="1698"/>
      <c r="P77" s="1698"/>
      <c r="Q77" s="1698"/>
      <c r="R77" s="1698"/>
      <c r="S77" s="1698"/>
      <c r="T77" s="1698"/>
      <c r="U77" s="1698"/>
      <c r="V77" s="1698"/>
      <c r="W77" s="708"/>
    </row>
    <row r="78" spans="2:23" s="485" customFormat="1" ht="12.75" customHeight="1" x14ac:dyDescent="0.3">
      <c r="B78" s="594"/>
      <c r="C78" s="549" t="str">
        <f>IF(NOT(ISBLANK(Worksheet!M287)),"X","")</f>
        <v/>
      </c>
      <c r="D78" s="1699" t="s">
        <v>412</v>
      </c>
      <c r="E78" s="1700"/>
      <c r="F78" s="1700"/>
      <c r="G78" s="1700"/>
      <c r="H78" s="1700"/>
      <c r="I78" s="1700"/>
      <c r="J78" s="1700"/>
      <c r="K78" s="1700"/>
      <c r="L78" s="1700"/>
      <c r="M78" s="1700"/>
      <c r="N78" s="1700"/>
      <c r="O78" s="1700"/>
      <c r="P78" s="1700"/>
      <c r="Q78" s="1700"/>
      <c r="R78" s="1700"/>
      <c r="S78" s="1700"/>
      <c r="T78" s="1700"/>
      <c r="U78" s="1700"/>
      <c r="V78" s="1700"/>
      <c r="W78" s="1700"/>
    </row>
    <row r="79" spans="2:23" s="485" customFormat="1" ht="12.75" customHeight="1" x14ac:dyDescent="0.3">
      <c r="B79" s="594"/>
      <c r="C79" s="814" t="s">
        <v>387</v>
      </c>
      <c r="D79" s="814"/>
      <c r="E79" s="814"/>
      <c r="F79" s="814"/>
      <c r="G79" s="814"/>
      <c r="H79" s="540"/>
      <c r="I79" s="540"/>
      <c r="J79" s="540"/>
      <c r="K79" s="1655" t="str">
        <f>$C$17</f>
        <v/>
      </c>
      <c r="L79" s="1655"/>
      <c r="M79" s="1655"/>
      <c r="N79" s="1655"/>
      <c r="O79" s="1734" t="s">
        <v>388</v>
      </c>
      <c r="P79" s="1734"/>
      <c r="Q79" s="1734"/>
      <c r="R79" s="1734"/>
      <c r="S79" s="1734"/>
      <c r="T79" s="1734"/>
      <c r="U79" s="1668" t="str">
        <f>EmployerFEIN</f>
        <v/>
      </c>
      <c r="V79" s="1668"/>
      <c r="W79" s="1668"/>
    </row>
    <row r="80" spans="2:23" s="485" customFormat="1" ht="12.75" customHeight="1" x14ac:dyDescent="0.3">
      <c r="B80" s="594"/>
      <c r="C80" s="814" t="s">
        <v>389</v>
      </c>
      <c r="D80" s="814"/>
      <c r="E80" s="814"/>
      <c r="F80" s="814"/>
      <c r="G80" s="814"/>
      <c r="H80" s="814"/>
      <c r="I80" s="1655" t="str">
        <f>$O$17</f>
        <v/>
      </c>
      <c r="J80" s="1655"/>
      <c r="K80" s="1655"/>
      <c r="L80" s="1655"/>
      <c r="M80" s="1655"/>
      <c r="N80" s="1655"/>
      <c r="O80" s="1655"/>
      <c r="P80" s="1655"/>
      <c r="Q80" s="541"/>
      <c r="R80" s="709" t="s">
        <v>390</v>
      </c>
      <c r="S80" s="1663" t="str">
        <f xml:space="preserve"> $O$19</f>
        <v/>
      </c>
      <c r="T80" s="1677"/>
      <c r="U80" s="1677"/>
      <c r="V80" s="1677"/>
      <c r="W80" s="1677"/>
    </row>
    <row r="81" spans="2:23" s="485" customFormat="1" ht="12.75" customHeight="1" x14ac:dyDescent="0.3">
      <c r="B81" s="594"/>
      <c r="C81" s="814" t="s">
        <v>391</v>
      </c>
      <c r="D81" s="814"/>
      <c r="E81" s="814"/>
      <c r="F81" s="814"/>
      <c r="G81" s="1668" t="str">
        <f>$O$15</f>
        <v/>
      </c>
      <c r="H81" s="1668"/>
      <c r="I81" s="1668"/>
      <c r="J81" s="1668"/>
      <c r="K81" s="1668"/>
      <c r="L81" s="1668"/>
      <c r="M81" s="1668"/>
      <c r="N81" s="1668"/>
      <c r="O81" s="1678" t="s">
        <v>392</v>
      </c>
      <c r="P81" s="1678"/>
      <c r="Q81" s="1679"/>
      <c r="R81" s="1668" t="str">
        <f>CaseNumber</f>
        <v/>
      </c>
      <c r="S81" s="1668"/>
      <c r="T81" s="1668"/>
      <c r="U81" s="1668"/>
      <c r="V81" s="1668"/>
      <c r="W81" s="1668"/>
    </row>
    <row r="82" spans="2:23" s="485" customFormat="1" ht="20.25" customHeight="1" x14ac:dyDescent="0.3">
      <c r="B82" s="550"/>
      <c r="C82" s="550" t="s">
        <v>413</v>
      </c>
      <c r="D82" s="550"/>
      <c r="E82" s="550"/>
      <c r="F82" s="550"/>
      <c r="G82" s="550"/>
      <c r="H82" s="550"/>
      <c r="I82" s="550"/>
      <c r="J82" s="550"/>
      <c r="K82" s="550"/>
      <c r="L82" s="550"/>
      <c r="M82" s="550"/>
      <c r="N82" s="550"/>
      <c r="O82" s="550"/>
      <c r="P82" s="550"/>
      <c r="Q82" s="550"/>
      <c r="R82" s="550"/>
      <c r="S82" s="550"/>
      <c r="T82" s="550"/>
      <c r="U82" s="550"/>
      <c r="V82" s="550"/>
      <c r="W82" s="550"/>
    </row>
    <row r="83" spans="2:23" s="485" customFormat="1" ht="33.75" customHeight="1" x14ac:dyDescent="0.3">
      <c r="B83" s="594"/>
      <c r="C83" s="1694" t="s">
        <v>414</v>
      </c>
      <c r="D83" s="1694"/>
      <c r="E83" s="1694"/>
      <c r="F83" s="1694"/>
      <c r="G83" s="1694"/>
      <c r="H83" s="1694"/>
      <c r="I83" s="1694"/>
      <c r="J83" s="1694"/>
      <c r="K83" s="1694"/>
      <c r="L83" s="1694"/>
      <c r="M83" s="1694"/>
      <c r="N83" s="1694"/>
      <c r="O83" s="1694"/>
      <c r="P83" s="1694"/>
      <c r="Q83" s="1694"/>
      <c r="R83" s="1694"/>
      <c r="S83" s="1694"/>
      <c r="T83" s="1694"/>
      <c r="U83" s="1694"/>
      <c r="V83" s="1694"/>
      <c r="W83" s="1694"/>
    </row>
    <row r="84" spans="2:23" s="485" customFormat="1" ht="85.95" customHeight="1" x14ac:dyDescent="0.3">
      <c r="B84" s="594"/>
      <c r="C84" s="1694" t="s">
        <v>415</v>
      </c>
      <c r="D84" s="1694"/>
      <c r="E84" s="1694"/>
      <c r="F84" s="1694"/>
      <c r="G84" s="1694"/>
      <c r="H84" s="1694"/>
      <c r="I84" s="1694"/>
      <c r="J84" s="1694"/>
      <c r="K84" s="1694"/>
      <c r="L84" s="1694"/>
      <c r="M84" s="1694"/>
      <c r="N84" s="1694"/>
      <c r="O84" s="1694"/>
      <c r="P84" s="1694"/>
      <c r="Q84" s="1694"/>
      <c r="R84" s="1694"/>
      <c r="S84" s="1694"/>
      <c r="T84" s="1694"/>
      <c r="U84" s="1694"/>
      <c r="V84" s="1694"/>
      <c r="W84" s="1694"/>
    </row>
    <row r="85" spans="2:23" s="485" customFormat="1" ht="86.4" customHeight="1" x14ac:dyDescent="0.3">
      <c r="B85" s="594"/>
      <c r="C85" s="1694" t="s">
        <v>416</v>
      </c>
      <c r="D85" s="1694"/>
      <c r="E85" s="1694"/>
      <c r="F85" s="1694"/>
      <c r="G85" s="1694"/>
      <c r="H85" s="1694"/>
      <c r="I85" s="1694"/>
      <c r="J85" s="1694"/>
      <c r="K85" s="1694"/>
      <c r="L85" s="1694"/>
      <c r="M85" s="1694"/>
      <c r="N85" s="1694"/>
      <c r="O85" s="1694"/>
      <c r="P85" s="1694"/>
      <c r="Q85" s="1694"/>
      <c r="R85" s="1694"/>
      <c r="S85" s="1694"/>
      <c r="T85" s="1694"/>
      <c r="U85" s="1694"/>
      <c r="V85" s="1694"/>
      <c r="W85" s="1694"/>
    </row>
    <row r="86" spans="2:23" s="485" customFormat="1" ht="43.2" customHeight="1" x14ac:dyDescent="0.3">
      <c r="B86" s="594"/>
      <c r="C86" s="1695" t="s">
        <v>417</v>
      </c>
      <c r="D86" s="1695"/>
      <c r="E86" s="1695"/>
      <c r="F86" s="1695"/>
      <c r="G86" s="1695"/>
      <c r="H86" s="1695"/>
      <c r="I86" s="1695"/>
      <c r="J86" s="1695"/>
      <c r="K86" s="1695"/>
      <c r="L86" s="1695"/>
      <c r="M86" s="1695"/>
      <c r="N86" s="1695"/>
      <c r="O86" s="1695"/>
      <c r="P86" s="1695"/>
      <c r="Q86" s="1695"/>
      <c r="R86" s="1695"/>
      <c r="S86" s="1695"/>
      <c r="T86" s="1695"/>
      <c r="U86" s="1695"/>
      <c r="V86" s="1695"/>
      <c r="W86" s="1695"/>
    </row>
    <row r="87" spans="2:23" s="485" customFormat="1" ht="30" customHeight="1" x14ac:dyDescent="0.3">
      <c r="B87" s="594"/>
      <c r="C87" s="1696" t="str">
        <f>IF(NOT(ISBLANK(Worksheet!I303)),Worksheet!I303,"_____________________________________________________________________________________________________ _____________________________________________________________________________________________________")</f>
        <v>_____________________________________________________________________________________________________ _____________________________________________________________________________________________________</v>
      </c>
      <c r="D87" s="1696"/>
      <c r="E87" s="1696"/>
      <c r="F87" s="1696"/>
      <c r="G87" s="1696"/>
      <c r="H87" s="1696"/>
      <c r="I87" s="1696"/>
      <c r="J87" s="1696"/>
      <c r="K87" s="1696"/>
      <c r="L87" s="1696"/>
      <c r="M87" s="1696"/>
      <c r="N87" s="1696"/>
      <c r="O87" s="1696"/>
      <c r="P87" s="1696"/>
      <c r="Q87" s="1696"/>
      <c r="R87" s="1696"/>
      <c r="S87" s="1696"/>
      <c r="T87" s="1696"/>
      <c r="U87" s="1696"/>
      <c r="V87" s="1696"/>
      <c r="W87" s="1696"/>
    </row>
    <row r="88" spans="2:23" s="485" customFormat="1" ht="9" customHeight="1" x14ac:dyDescent="0.3">
      <c r="B88" s="594"/>
      <c r="C88" s="1690"/>
      <c r="D88" s="1701"/>
      <c r="E88" s="1701"/>
      <c r="F88" s="1701"/>
      <c r="G88" s="1701"/>
      <c r="H88" s="1701"/>
      <c r="I88" s="1701"/>
      <c r="J88" s="1701"/>
      <c r="K88" s="1701"/>
      <c r="L88" s="1701"/>
      <c r="M88" s="1701"/>
      <c r="N88" s="1701"/>
      <c r="O88" s="1701"/>
      <c r="P88" s="1701"/>
      <c r="Q88" s="1701"/>
      <c r="R88" s="1701"/>
      <c r="S88" s="1701"/>
      <c r="T88" s="1701"/>
      <c r="U88" s="1701"/>
      <c r="V88" s="1701"/>
      <c r="W88" s="714"/>
    </row>
    <row r="89" spans="2:23" s="485" customFormat="1" ht="12.75" customHeight="1" x14ac:dyDescent="0.3">
      <c r="B89" s="594"/>
      <c r="C89" s="1690"/>
      <c r="D89" s="1701"/>
      <c r="E89" s="1701"/>
      <c r="F89" s="1701"/>
      <c r="G89" s="1701"/>
      <c r="H89" s="1701"/>
      <c r="I89" s="1701"/>
      <c r="J89" s="1701"/>
      <c r="K89" s="1701"/>
      <c r="L89" s="1701"/>
      <c r="M89" s="1701"/>
      <c r="N89" s="1701"/>
      <c r="O89" s="1701"/>
      <c r="P89" s="1701"/>
      <c r="Q89" s="1701"/>
      <c r="R89" s="1701"/>
      <c r="S89" s="1701"/>
      <c r="T89" s="1701"/>
      <c r="U89" s="1701"/>
      <c r="V89" s="1701"/>
      <c r="W89" s="714"/>
    </row>
    <row r="90" spans="2:23" s="485" customFormat="1" ht="12.75" customHeight="1" x14ac:dyDescent="0.3">
      <c r="B90" s="594"/>
      <c r="C90" s="1690"/>
      <c r="D90" s="1701"/>
      <c r="E90" s="1701"/>
      <c r="F90" s="1701"/>
      <c r="G90" s="1701"/>
      <c r="H90" s="1701"/>
      <c r="I90" s="1701"/>
      <c r="J90" s="1701"/>
      <c r="K90" s="1701"/>
      <c r="L90" s="1701"/>
      <c r="M90" s="1701"/>
      <c r="N90" s="1701"/>
      <c r="O90" s="1701"/>
      <c r="P90" s="1701"/>
      <c r="Q90" s="1701"/>
      <c r="R90" s="1701"/>
      <c r="S90" s="1701"/>
      <c r="T90" s="1701"/>
      <c r="U90" s="1701"/>
      <c r="V90" s="1701"/>
      <c r="W90" s="714"/>
    </row>
    <row r="91" spans="2:23" s="485" customFormat="1" ht="32.25" customHeight="1" x14ac:dyDescent="0.3">
      <c r="B91" s="594"/>
      <c r="C91" s="1702" t="s">
        <v>418</v>
      </c>
      <c r="D91" s="1702"/>
      <c r="E91" s="1702"/>
      <c r="F91" s="1702"/>
      <c r="G91" s="1702"/>
      <c r="H91" s="1702"/>
      <c r="I91" s="1702"/>
      <c r="J91" s="1702"/>
      <c r="K91" s="1702"/>
      <c r="L91" s="1702"/>
      <c r="M91" s="1702"/>
      <c r="N91" s="1702"/>
      <c r="O91" s="1702"/>
      <c r="P91" s="1702"/>
      <c r="Q91" s="1702"/>
      <c r="R91" s="1702"/>
      <c r="S91" s="1702"/>
      <c r="T91" s="1702"/>
      <c r="U91" s="1702"/>
      <c r="V91" s="1702"/>
      <c r="W91" s="1702"/>
    </row>
    <row r="92" spans="2:23" s="485" customFormat="1" ht="30.75" customHeight="1" x14ac:dyDescent="0.3">
      <c r="B92" s="594"/>
      <c r="C92" s="1696" t="str">
        <f>IF(NOT(ISBLANK(Worksheet!I305)),Worksheet!I305,"_____________________________________________________________________________________________________________________________________________________________________________________________________________")</f>
        <v>_____________________________________________________________________________________________________________________________________________________________________________________________________________</v>
      </c>
      <c r="D92" s="1696"/>
      <c r="E92" s="1696"/>
      <c r="F92" s="1696"/>
      <c r="G92" s="1696"/>
      <c r="H92" s="1696"/>
      <c r="I92" s="1696"/>
      <c r="J92" s="1696"/>
      <c r="K92" s="1696"/>
      <c r="L92" s="1696"/>
      <c r="M92" s="1696"/>
      <c r="N92" s="1696"/>
      <c r="O92" s="1696"/>
      <c r="P92" s="1696"/>
      <c r="Q92" s="1696"/>
      <c r="R92" s="1696"/>
      <c r="S92" s="1696"/>
      <c r="T92" s="1696"/>
      <c r="U92" s="1696"/>
      <c r="V92" s="1696"/>
      <c r="W92" s="1696"/>
    </row>
    <row r="93" spans="2:23" s="485" customFormat="1" ht="6" customHeight="1" x14ac:dyDescent="0.3">
      <c r="B93" s="594"/>
      <c r="C93" s="1690"/>
      <c r="D93" s="1701"/>
      <c r="E93" s="1701"/>
      <c r="F93" s="1701"/>
      <c r="G93" s="1701"/>
      <c r="H93" s="1701"/>
      <c r="I93" s="1701"/>
      <c r="J93" s="1701"/>
      <c r="K93" s="1701"/>
      <c r="L93" s="1701"/>
      <c r="M93" s="1701"/>
      <c r="N93" s="1701"/>
      <c r="O93" s="1701"/>
      <c r="P93" s="1701"/>
      <c r="Q93" s="1701"/>
      <c r="R93" s="1701"/>
      <c r="S93" s="1701"/>
      <c r="T93" s="1701"/>
      <c r="U93" s="1701"/>
      <c r="V93" s="1701"/>
      <c r="W93" s="710"/>
    </row>
    <row r="94" spans="2:23" s="485" customFormat="1" ht="12.75" customHeight="1" x14ac:dyDescent="0.3">
      <c r="B94" s="594"/>
      <c r="C94" s="1690"/>
      <c r="D94" s="1701"/>
      <c r="E94" s="1701"/>
      <c r="F94" s="1701"/>
      <c r="G94" s="1701"/>
      <c r="H94" s="1701"/>
      <c r="I94" s="1701"/>
      <c r="J94" s="1701"/>
      <c r="K94" s="1701"/>
      <c r="L94" s="1701"/>
      <c r="M94" s="1701"/>
      <c r="N94" s="1701"/>
      <c r="O94" s="1701"/>
      <c r="P94" s="1701"/>
      <c r="Q94" s="1701"/>
      <c r="R94" s="1701"/>
      <c r="S94" s="1701"/>
      <c r="T94" s="1701"/>
      <c r="U94" s="1701"/>
      <c r="V94" s="1701"/>
      <c r="W94" s="710"/>
    </row>
    <row r="95" spans="2:23" s="485" customFormat="1" ht="12.75" customHeight="1" x14ac:dyDescent="0.3">
      <c r="B95" s="594"/>
      <c r="C95" s="1690"/>
      <c r="D95" s="1701"/>
      <c r="E95" s="1701"/>
      <c r="F95" s="1701"/>
      <c r="G95" s="1701"/>
      <c r="H95" s="1701"/>
      <c r="I95" s="1701"/>
      <c r="J95" s="1701"/>
      <c r="K95" s="1701"/>
      <c r="L95" s="1701"/>
      <c r="M95" s="1701"/>
      <c r="N95" s="1701"/>
      <c r="O95" s="1701"/>
      <c r="P95" s="1701"/>
      <c r="Q95" s="1701"/>
      <c r="R95" s="1701"/>
      <c r="S95" s="1701"/>
      <c r="T95" s="1701"/>
      <c r="U95" s="1701"/>
      <c r="V95" s="1701"/>
      <c r="W95" s="710"/>
    </row>
    <row r="96" spans="2:23" s="485" customFormat="1" ht="20.25" customHeight="1" x14ac:dyDescent="0.3">
      <c r="B96" s="594"/>
      <c r="C96" s="1694" t="s">
        <v>419</v>
      </c>
      <c r="D96" s="1703"/>
      <c r="E96" s="1703"/>
      <c r="F96" s="1703"/>
      <c r="G96" s="1703"/>
      <c r="H96" s="1703"/>
      <c r="I96" s="1703"/>
      <c r="J96" s="1703"/>
      <c r="K96" s="1703"/>
      <c r="L96" s="1703"/>
      <c r="M96" s="1703"/>
      <c r="N96" s="1703"/>
      <c r="O96" s="1703"/>
      <c r="P96" s="1703"/>
      <c r="Q96" s="1703"/>
      <c r="R96" s="1703"/>
      <c r="S96" s="1703"/>
      <c r="T96" s="1703"/>
      <c r="U96" s="1703"/>
      <c r="V96" s="1703"/>
      <c r="W96" s="1703"/>
    </row>
    <row r="97" spans="2:23" s="485" customFormat="1" ht="30" customHeight="1" x14ac:dyDescent="0.3">
      <c r="B97" s="594"/>
      <c r="C97" s="1696" t="str">
        <f>IF(NOT(ISBLANK(Worksheet!I307)),Worksheet!I307,"____________________________________________________________________________________________________________________________________________________________________________________________________________")</f>
        <v>____________________________________________________________________________________________________________________________________________________________________________________________________________</v>
      </c>
      <c r="D97" s="1696"/>
      <c r="E97" s="1696"/>
      <c r="F97" s="1696"/>
      <c r="G97" s="1696"/>
      <c r="H97" s="1696"/>
      <c r="I97" s="1696"/>
      <c r="J97" s="1696"/>
      <c r="K97" s="1696"/>
      <c r="L97" s="1696"/>
      <c r="M97" s="1696"/>
      <c r="N97" s="1696"/>
      <c r="O97" s="1696"/>
      <c r="P97" s="1696"/>
      <c r="Q97" s="1696"/>
      <c r="R97" s="1696"/>
      <c r="S97" s="1696"/>
      <c r="T97" s="1696"/>
      <c r="U97" s="1696"/>
      <c r="V97" s="1696"/>
      <c r="W97" s="1696"/>
    </row>
    <row r="98" spans="2:23" s="485" customFormat="1" ht="8.25" customHeight="1" x14ac:dyDescent="0.3">
      <c r="B98" s="594"/>
      <c r="C98" s="1690"/>
      <c r="D98" s="1701"/>
      <c r="E98" s="1701"/>
      <c r="F98" s="1701"/>
      <c r="G98" s="1701"/>
      <c r="H98" s="1701"/>
      <c r="I98" s="1701"/>
      <c r="J98" s="1701"/>
      <c r="K98" s="1701"/>
      <c r="L98" s="1701"/>
      <c r="M98" s="1701"/>
      <c r="N98" s="1701"/>
      <c r="O98" s="1701"/>
      <c r="P98" s="1701"/>
      <c r="Q98" s="1701"/>
      <c r="R98" s="1701"/>
      <c r="S98" s="1701"/>
      <c r="T98" s="1701"/>
      <c r="U98" s="1701"/>
      <c r="V98" s="1701"/>
      <c r="W98" s="710"/>
    </row>
    <row r="99" spans="2:23" s="485" customFormat="1" ht="12.75" customHeight="1" x14ac:dyDescent="0.3">
      <c r="B99" s="594"/>
      <c r="C99" s="1690"/>
      <c r="D99" s="1701"/>
      <c r="E99" s="1701"/>
      <c r="F99" s="1701"/>
      <c r="G99" s="1701"/>
      <c r="H99" s="1701"/>
      <c r="I99" s="1701"/>
      <c r="J99" s="1701"/>
      <c r="K99" s="1701"/>
      <c r="L99" s="1701"/>
      <c r="M99" s="1701"/>
      <c r="N99" s="1701"/>
      <c r="O99" s="1701"/>
      <c r="P99" s="1701"/>
      <c r="Q99" s="1701"/>
      <c r="R99" s="1701"/>
      <c r="S99" s="1701"/>
      <c r="T99" s="1701"/>
      <c r="U99" s="1701"/>
      <c r="V99" s="1701"/>
      <c r="W99" s="710"/>
    </row>
    <row r="100" spans="2:23" s="485" customFormat="1" ht="12.75" customHeight="1" x14ac:dyDescent="0.3">
      <c r="B100" s="594"/>
      <c r="C100" s="1690"/>
      <c r="D100" s="1701"/>
      <c r="E100" s="1701"/>
      <c r="F100" s="1701"/>
      <c r="G100" s="1701"/>
      <c r="H100" s="1701"/>
      <c r="I100" s="1701"/>
      <c r="J100" s="1701"/>
      <c r="K100" s="1701"/>
      <c r="L100" s="1701"/>
      <c r="M100" s="1701"/>
      <c r="N100" s="1701"/>
      <c r="O100" s="1701"/>
      <c r="P100" s="1701"/>
      <c r="Q100" s="1701"/>
      <c r="R100" s="1701"/>
      <c r="S100" s="1701"/>
      <c r="T100" s="1701"/>
      <c r="U100" s="1701"/>
      <c r="V100" s="1701"/>
      <c r="W100" s="710"/>
    </row>
    <row r="101" spans="2:23" s="485" customFormat="1" ht="12.75" customHeight="1" x14ac:dyDescent="0.3">
      <c r="B101" s="594"/>
      <c r="C101" s="1690"/>
      <c r="D101" s="1701"/>
      <c r="E101" s="1701"/>
      <c r="F101" s="1701"/>
      <c r="G101" s="1701"/>
      <c r="H101" s="1701"/>
      <c r="I101" s="1701"/>
      <c r="J101" s="1701"/>
      <c r="K101" s="1701"/>
      <c r="L101" s="1701"/>
      <c r="M101" s="1701"/>
      <c r="N101" s="1701"/>
      <c r="O101" s="1701"/>
      <c r="P101" s="1701"/>
      <c r="Q101" s="1701"/>
      <c r="R101" s="1701"/>
      <c r="S101" s="1701"/>
      <c r="T101" s="1701"/>
      <c r="U101" s="1701"/>
      <c r="V101" s="1701"/>
      <c r="W101" s="710"/>
    </row>
    <row r="102" spans="2:23" s="485" customFormat="1" ht="12.75" customHeight="1" x14ac:dyDescent="0.3">
      <c r="B102" s="594"/>
      <c r="C102" s="1690"/>
      <c r="D102" s="1701"/>
      <c r="E102" s="1701"/>
      <c r="F102" s="1701"/>
      <c r="G102" s="1701"/>
      <c r="H102" s="1701"/>
      <c r="I102" s="1701"/>
      <c r="J102" s="1701"/>
      <c r="K102" s="1701"/>
      <c r="L102" s="1701"/>
      <c r="M102" s="1701"/>
      <c r="N102" s="1701"/>
      <c r="O102" s="1701"/>
      <c r="P102" s="1701"/>
      <c r="Q102" s="1701"/>
      <c r="R102" s="1701"/>
      <c r="S102" s="1701"/>
      <c r="T102" s="1701"/>
      <c r="U102" s="1701"/>
      <c r="V102" s="1701"/>
      <c r="W102" s="710"/>
    </row>
    <row r="103" spans="2:23" s="485" customFormat="1" ht="12.75" customHeight="1" x14ac:dyDescent="0.3">
      <c r="B103" s="594"/>
      <c r="C103" s="1690"/>
      <c r="D103" s="1701"/>
      <c r="E103" s="1701"/>
      <c r="F103" s="1701"/>
      <c r="G103" s="1701"/>
      <c r="H103" s="1701"/>
      <c r="I103" s="1701"/>
      <c r="J103" s="1701"/>
      <c r="K103" s="1701"/>
      <c r="L103" s="1701"/>
      <c r="M103" s="1701"/>
      <c r="N103" s="1701"/>
      <c r="O103" s="1701"/>
      <c r="P103" s="1701"/>
      <c r="Q103" s="1701"/>
      <c r="R103" s="1701"/>
      <c r="S103" s="1701"/>
      <c r="T103" s="1701"/>
      <c r="U103" s="1701"/>
      <c r="V103" s="1701"/>
      <c r="W103" s="710"/>
    </row>
    <row r="104" spans="2:23" s="485" customFormat="1" ht="12.75" customHeight="1" x14ac:dyDescent="0.3">
      <c r="B104" s="594"/>
      <c r="C104" s="1690"/>
      <c r="D104" s="1701"/>
      <c r="E104" s="1701"/>
      <c r="F104" s="1701"/>
      <c r="G104" s="1701"/>
      <c r="H104" s="1701"/>
      <c r="I104" s="1701"/>
      <c r="J104" s="1701"/>
      <c r="K104" s="1701"/>
      <c r="L104" s="1701"/>
      <c r="M104" s="1701"/>
      <c r="N104" s="1701"/>
      <c r="O104" s="1701"/>
      <c r="P104" s="1701"/>
      <c r="Q104" s="1701"/>
      <c r="R104" s="1701"/>
      <c r="S104" s="1701"/>
      <c r="T104" s="1701"/>
      <c r="U104" s="1701"/>
      <c r="V104" s="1701"/>
      <c r="W104" s="710"/>
    </row>
    <row r="105" spans="2:23" s="485" customFormat="1" ht="12.75" customHeight="1" x14ac:dyDescent="0.3">
      <c r="B105" s="594"/>
      <c r="C105" s="710"/>
      <c r="D105" s="710"/>
      <c r="E105" s="710"/>
      <c r="F105" s="710"/>
      <c r="G105" s="710"/>
      <c r="H105" s="710"/>
      <c r="I105" s="710"/>
      <c r="J105" s="710"/>
      <c r="K105" s="710"/>
      <c r="L105" s="710"/>
      <c r="M105" s="710"/>
      <c r="N105" s="710"/>
      <c r="O105" s="710"/>
      <c r="P105" s="710"/>
      <c r="Q105" s="710"/>
      <c r="R105" s="710"/>
      <c r="S105" s="710"/>
      <c r="T105" s="710"/>
      <c r="U105" s="710"/>
      <c r="V105" s="710"/>
      <c r="W105" s="710"/>
    </row>
    <row r="106" spans="2:23" s="485" customFormat="1" ht="12.75" customHeight="1" x14ac:dyDescent="0.3">
      <c r="B106" s="594"/>
      <c r="C106" s="710"/>
      <c r="D106" s="710"/>
      <c r="E106" s="710"/>
      <c r="F106" s="710"/>
      <c r="G106" s="710"/>
      <c r="H106" s="710"/>
      <c r="I106" s="710"/>
      <c r="J106" s="710"/>
      <c r="K106" s="710"/>
      <c r="L106" s="710"/>
      <c r="M106" s="710"/>
      <c r="N106" s="710"/>
      <c r="O106" s="710"/>
      <c r="P106" s="710"/>
      <c r="Q106" s="710"/>
      <c r="R106" s="710"/>
      <c r="S106" s="710"/>
      <c r="T106" s="710"/>
      <c r="U106" s="710"/>
      <c r="V106" s="710"/>
      <c r="W106" s="710"/>
    </row>
    <row r="107" spans="2:23" s="485" customFormat="1" ht="12.75" customHeight="1" x14ac:dyDescent="0.3">
      <c r="B107" s="594"/>
      <c r="C107" s="814" t="s">
        <v>387</v>
      </c>
      <c r="D107" s="814"/>
      <c r="E107" s="814"/>
      <c r="F107" s="814"/>
      <c r="G107" s="814"/>
      <c r="H107" s="540"/>
      <c r="I107" s="540"/>
      <c r="J107" s="540"/>
      <c r="K107" s="1655" t="str">
        <f>$C$17</f>
        <v/>
      </c>
      <c r="L107" s="1655"/>
      <c r="M107" s="1655"/>
      <c r="N107" s="1655"/>
      <c r="O107" s="1734" t="s">
        <v>388</v>
      </c>
      <c r="P107" s="1734"/>
      <c r="Q107" s="1734"/>
      <c r="R107" s="1734"/>
      <c r="S107" s="1734"/>
      <c r="T107" s="1734"/>
      <c r="U107" s="1668" t="str">
        <f>EmployerFEIN</f>
        <v/>
      </c>
      <c r="V107" s="1668"/>
      <c r="W107" s="1668"/>
    </row>
    <row r="108" spans="2:23" s="485" customFormat="1" ht="12.75" customHeight="1" x14ac:dyDescent="0.3">
      <c r="B108" s="594"/>
      <c r="C108" s="814" t="s">
        <v>389</v>
      </c>
      <c r="D108" s="814"/>
      <c r="E108" s="814"/>
      <c r="F108" s="814"/>
      <c r="G108" s="814"/>
      <c r="H108" s="814"/>
      <c r="I108" s="1655" t="str">
        <f>$O$17</f>
        <v/>
      </c>
      <c r="J108" s="1655"/>
      <c r="K108" s="1655"/>
      <c r="L108" s="1655"/>
      <c r="M108" s="1655"/>
      <c r="N108" s="1655"/>
      <c r="O108" s="1655"/>
      <c r="P108" s="1655"/>
      <c r="Q108" s="541"/>
      <c r="R108" s="709" t="s">
        <v>390</v>
      </c>
      <c r="S108" s="1663" t="str">
        <f xml:space="preserve"> $O$19</f>
        <v/>
      </c>
      <c r="T108" s="1677"/>
      <c r="U108" s="1677"/>
      <c r="V108" s="1677"/>
      <c r="W108" s="1677"/>
    </row>
    <row r="109" spans="2:23" s="485" customFormat="1" ht="12.75" customHeight="1" x14ac:dyDescent="0.3">
      <c r="B109" s="594"/>
      <c r="C109" s="814" t="s">
        <v>391</v>
      </c>
      <c r="D109" s="814"/>
      <c r="E109" s="814"/>
      <c r="F109" s="814"/>
      <c r="G109" s="1668" t="str">
        <f>$O$15</f>
        <v/>
      </c>
      <c r="H109" s="1668"/>
      <c r="I109" s="1668"/>
      <c r="J109" s="1668"/>
      <c r="K109" s="1668"/>
      <c r="L109" s="1668"/>
      <c r="M109" s="1668"/>
      <c r="N109" s="1668"/>
      <c r="O109" s="1678" t="s">
        <v>392</v>
      </c>
      <c r="P109" s="1678"/>
      <c r="Q109" s="1679"/>
      <c r="R109" s="1668" t="str">
        <f>CaseNumber</f>
        <v/>
      </c>
      <c r="S109" s="1668"/>
      <c r="T109" s="1668"/>
      <c r="U109" s="1668"/>
      <c r="V109" s="1668"/>
      <c r="W109" s="1668"/>
    </row>
    <row r="110" spans="2:23" s="489" customFormat="1" ht="28.95" customHeight="1" x14ac:dyDescent="0.25">
      <c r="B110" s="706"/>
      <c r="C110" s="1704" t="s">
        <v>420</v>
      </c>
      <c r="D110" s="1704"/>
      <c r="E110" s="1704"/>
      <c r="F110" s="1704"/>
      <c r="G110" s="1704"/>
      <c r="H110" s="1704"/>
      <c r="I110" s="1704"/>
      <c r="J110" s="1704"/>
      <c r="K110" s="1704"/>
      <c r="L110" s="1704"/>
      <c r="M110" s="1704"/>
      <c r="N110" s="1704"/>
      <c r="O110" s="1704"/>
      <c r="P110" s="1704"/>
      <c r="Q110" s="1704"/>
      <c r="R110" s="1704"/>
      <c r="S110" s="1704"/>
      <c r="T110" s="1704"/>
      <c r="U110" s="1704"/>
      <c r="V110" s="1704"/>
      <c r="W110" s="711"/>
    </row>
    <row r="111" spans="2:23" s="485" customFormat="1" ht="57.6" customHeight="1" x14ac:dyDescent="0.3">
      <c r="B111" s="533"/>
      <c r="C111" s="1705" t="s">
        <v>421</v>
      </c>
      <c r="D111" s="1706"/>
      <c r="E111" s="1706"/>
      <c r="F111" s="1706"/>
      <c r="G111" s="1706"/>
      <c r="H111" s="1706"/>
      <c r="I111" s="1706"/>
      <c r="J111" s="1706"/>
      <c r="K111" s="1706"/>
      <c r="L111" s="1706"/>
      <c r="M111" s="1706"/>
      <c r="N111" s="1706"/>
      <c r="O111" s="1706"/>
      <c r="P111" s="1706"/>
      <c r="Q111" s="1706"/>
      <c r="R111" s="1706"/>
      <c r="S111" s="1706"/>
      <c r="T111" s="1706"/>
      <c r="U111" s="1706"/>
      <c r="V111" s="1706"/>
      <c r="W111" s="1707"/>
    </row>
    <row r="112" spans="2:23" s="485" customFormat="1" ht="12.75" customHeight="1" x14ac:dyDescent="0.3">
      <c r="B112" s="602"/>
      <c r="C112" s="546"/>
      <c r="D112" s="1708" t="s">
        <v>422</v>
      </c>
      <c r="E112" s="1640"/>
      <c r="F112" s="1640"/>
      <c r="G112" s="1640"/>
      <c r="H112" s="1640"/>
      <c r="I112" s="1640"/>
      <c r="J112" s="1640"/>
      <c r="K112" s="1640"/>
      <c r="L112" s="1640"/>
      <c r="M112" s="1640"/>
      <c r="N112" s="1640"/>
      <c r="O112" s="1640"/>
      <c r="P112" s="1640"/>
      <c r="Q112" s="1640"/>
      <c r="R112" s="1640"/>
      <c r="S112" s="1640"/>
      <c r="T112" s="1640"/>
      <c r="U112" s="1640"/>
      <c r="V112" s="1640"/>
      <c r="W112" s="601"/>
    </row>
    <row r="113" spans="2:23" s="485" customFormat="1" ht="7.2" customHeight="1" x14ac:dyDescent="0.3">
      <c r="B113" s="602"/>
      <c r="C113" s="594"/>
      <c r="D113" s="594"/>
      <c r="E113" s="594"/>
      <c r="F113" s="594"/>
      <c r="G113" s="594"/>
      <c r="H113" s="594"/>
      <c r="I113" s="594"/>
      <c r="J113" s="594"/>
      <c r="K113" s="594"/>
      <c r="L113" s="594"/>
      <c r="M113" s="594"/>
      <c r="N113" s="594"/>
      <c r="O113" s="594"/>
      <c r="P113" s="594"/>
      <c r="Q113" s="594"/>
      <c r="R113" s="594"/>
      <c r="S113" s="594"/>
      <c r="T113" s="594"/>
      <c r="U113" s="594"/>
      <c r="V113" s="594"/>
      <c r="W113" s="601"/>
    </row>
    <row r="114" spans="2:23" s="485" customFormat="1" ht="12.75" customHeight="1" x14ac:dyDescent="0.3">
      <c r="B114" s="602"/>
      <c r="C114" s="546"/>
      <c r="D114" s="1708" t="s">
        <v>423</v>
      </c>
      <c r="E114" s="1640"/>
      <c r="F114" s="1640"/>
      <c r="G114" s="1640"/>
      <c r="H114" s="1640"/>
      <c r="I114" s="1640"/>
      <c r="J114" s="1640"/>
      <c r="K114" s="1640"/>
      <c r="L114" s="1640"/>
      <c r="M114" s="1640"/>
      <c r="N114" s="1640"/>
      <c r="O114" s="1640"/>
      <c r="P114" s="1640"/>
      <c r="Q114" s="1640"/>
      <c r="R114" s="1640"/>
      <c r="S114" s="1640"/>
      <c r="T114" s="1640"/>
      <c r="U114" s="1640"/>
      <c r="V114" s="1640"/>
      <c r="W114" s="601"/>
    </row>
    <row r="115" spans="2:23" s="485" customFormat="1" ht="28.95" customHeight="1" x14ac:dyDescent="0.3">
      <c r="B115" s="602"/>
      <c r="C115" s="1709" t="s">
        <v>424</v>
      </c>
      <c r="D115" s="1709"/>
      <c r="E115" s="1709"/>
      <c r="F115" s="1709"/>
      <c r="G115" s="1709"/>
      <c r="H115" s="1709"/>
      <c r="I115" s="1709"/>
      <c r="J115" s="1709"/>
      <c r="K115" s="1709"/>
      <c r="L115" s="1709"/>
      <c r="M115" s="1709"/>
      <c r="N115" s="1709"/>
      <c r="O115" s="1709"/>
      <c r="P115" s="1709"/>
      <c r="Q115" s="1709"/>
      <c r="R115" s="1709"/>
      <c r="S115" s="1709"/>
      <c r="T115" s="1709"/>
      <c r="U115" s="1709"/>
      <c r="V115" s="1709"/>
      <c r="W115" s="601"/>
    </row>
    <row r="116" spans="2:23" s="485" customFormat="1" ht="16.2" customHeight="1" x14ac:dyDescent="0.3">
      <c r="B116" s="602"/>
      <c r="C116" s="1640" t="s">
        <v>425</v>
      </c>
      <c r="D116" s="1640"/>
      <c r="E116" s="1640"/>
      <c r="F116" s="1640"/>
      <c r="G116" s="1640"/>
      <c r="H116" s="1672"/>
      <c r="I116" s="1672"/>
      <c r="J116" s="1672"/>
      <c r="K116" s="1672"/>
      <c r="L116" s="1672"/>
      <c r="M116" s="1672"/>
      <c r="N116" s="1679" t="s">
        <v>426</v>
      </c>
      <c r="O116" s="1679"/>
      <c r="P116" s="1679"/>
      <c r="Q116" s="1679"/>
      <c r="R116" s="1672"/>
      <c r="S116" s="1672"/>
      <c r="T116" s="1672"/>
      <c r="U116" s="1672"/>
      <c r="V116" s="1672"/>
      <c r="W116" s="601"/>
    </row>
    <row r="117" spans="2:23" s="485" customFormat="1" ht="16.2" customHeight="1" x14ac:dyDescent="0.3">
      <c r="B117" s="602"/>
      <c r="C117" s="1640" t="s">
        <v>427</v>
      </c>
      <c r="D117" s="1640"/>
      <c r="E117" s="1640"/>
      <c r="F117" s="1640"/>
      <c r="G117" s="1640"/>
      <c r="H117" s="1672"/>
      <c r="I117" s="1672"/>
      <c r="J117" s="1672"/>
      <c r="K117" s="1672"/>
      <c r="L117" s="1672"/>
      <c r="M117" s="1672"/>
      <c r="N117" s="1672"/>
      <c r="O117" s="1672"/>
      <c r="P117" s="1672"/>
      <c r="Q117" s="1672"/>
      <c r="R117" s="1672"/>
      <c r="S117" s="1672"/>
      <c r="T117" s="1672"/>
      <c r="U117" s="1672"/>
      <c r="V117" s="1672"/>
      <c r="W117" s="601"/>
    </row>
    <row r="118" spans="2:23" s="485" customFormat="1" ht="16.2" customHeight="1" x14ac:dyDescent="0.3">
      <c r="B118" s="602"/>
      <c r="C118" s="1672"/>
      <c r="D118" s="1672"/>
      <c r="E118" s="1672"/>
      <c r="F118" s="1672"/>
      <c r="G118" s="1672"/>
      <c r="H118" s="1672"/>
      <c r="I118" s="1672"/>
      <c r="J118" s="1672"/>
      <c r="K118" s="1672"/>
      <c r="L118" s="1672"/>
      <c r="M118" s="1672"/>
      <c r="N118" s="1672"/>
      <c r="O118" s="1672"/>
      <c r="P118" s="1672"/>
      <c r="Q118" s="1672"/>
      <c r="R118" s="1672"/>
      <c r="S118" s="1672"/>
      <c r="T118" s="1672"/>
      <c r="U118" s="1672"/>
      <c r="V118" s="1672"/>
      <c r="W118" s="601"/>
    </row>
    <row r="119" spans="2:23" s="485" customFormat="1" ht="16.2" customHeight="1" x14ac:dyDescent="0.3">
      <c r="B119" s="602"/>
      <c r="C119" s="1667" t="s">
        <v>428</v>
      </c>
      <c r="D119" s="1667"/>
      <c r="E119" s="1667"/>
      <c r="F119" s="1667"/>
      <c r="G119" s="1667"/>
      <c r="H119" s="1667"/>
      <c r="I119" s="1667"/>
      <c r="J119" s="1667"/>
      <c r="K119" s="596"/>
      <c r="L119" s="1710"/>
      <c r="M119" s="1710"/>
      <c r="N119" s="1710"/>
      <c r="O119" s="1711" t="s">
        <v>429</v>
      </c>
      <c r="P119" s="1711"/>
      <c r="Q119" s="1711"/>
      <c r="R119" s="1711"/>
      <c r="S119" s="1710"/>
      <c r="T119" s="1710"/>
      <c r="U119" s="1710"/>
      <c r="V119" s="1710"/>
      <c r="W119" s="601"/>
    </row>
    <row r="120" spans="2:23" s="485" customFormat="1" ht="16.2" customHeight="1" x14ac:dyDescent="0.3">
      <c r="B120" s="602"/>
      <c r="C120" s="594" t="s">
        <v>430</v>
      </c>
      <c r="D120" s="594"/>
      <c r="E120" s="594"/>
      <c r="F120" s="594"/>
      <c r="G120" s="594"/>
      <c r="H120" s="594"/>
      <c r="I120" s="594"/>
      <c r="J120" s="594"/>
      <c r="K120" s="594"/>
      <c r="L120" s="596"/>
      <c r="M120" s="598"/>
      <c r="N120" s="598"/>
      <c r="O120" s="598"/>
      <c r="P120" s="598"/>
      <c r="Q120" s="598"/>
      <c r="R120" s="598"/>
      <c r="S120" s="598"/>
      <c r="T120" s="598"/>
      <c r="U120" s="598"/>
      <c r="V120" s="598"/>
      <c r="W120" s="601"/>
    </row>
    <row r="121" spans="2:23" s="485" customFormat="1" ht="16.2" customHeight="1" x14ac:dyDescent="0.3">
      <c r="B121" s="602"/>
      <c r="C121" s="594" t="s">
        <v>431</v>
      </c>
      <c r="D121" s="594"/>
      <c r="E121" s="594"/>
      <c r="F121" s="594"/>
      <c r="G121" s="594"/>
      <c r="H121" s="594"/>
      <c r="I121" s="594"/>
      <c r="J121" s="594"/>
      <c r="K121" s="594"/>
      <c r="L121" s="594"/>
      <c r="M121" s="598"/>
      <c r="N121" s="598"/>
      <c r="O121" s="598"/>
      <c r="P121" s="598"/>
      <c r="Q121" s="598"/>
      <c r="R121" s="598"/>
      <c r="S121" s="598"/>
      <c r="T121" s="598"/>
      <c r="U121" s="598"/>
      <c r="V121" s="598"/>
      <c r="W121" s="601"/>
    </row>
    <row r="122" spans="2:23" s="485" customFormat="1" ht="16.2" customHeight="1" x14ac:dyDescent="0.3">
      <c r="B122" s="602"/>
      <c r="C122" s="1672"/>
      <c r="D122" s="1672"/>
      <c r="E122" s="1672"/>
      <c r="F122" s="1672"/>
      <c r="G122" s="1672"/>
      <c r="H122" s="1672"/>
      <c r="I122" s="1672"/>
      <c r="J122" s="1672"/>
      <c r="K122" s="1672"/>
      <c r="L122" s="1672"/>
      <c r="M122" s="1672"/>
      <c r="N122" s="1672"/>
      <c r="O122" s="1672"/>
      <c r="P122" s="1672"/>
      <c r="Q122" s="1672"/>
      <c r="R122" s="1672"/>
      <c r="S122" s="1672"/>
      <c r="T122" s="1672"/>
      <c r="U122" s="1672"/>
      <c r="V122" s="1672"/>
      <c r="W122" s="601"/>
    </row>
    <row r="123" spans="2:23" s="485" customFormat="1" ht="7.2" customHeight="1" x14ac:dyDescent="0.3">
      <c r="B123" s="532"/>
      <c r="C123" s="598"/>
      <c r="D123" s="598"/>
      <c r="E123" s="598"/>
      <c r="F123" s="598"/>
      <c r="G123" s="598"/>
      <c r="H123" s="598"/>
      <c r="I123" s="598"/>
      <c r="J123" s="598"/>
      <c r="K123" s="598"/>
      <c r="L123" s="598"/>
      <c r="M123" s="598"/>
      <c r="N123" s="598"/>
      <c r="O123" s="598"/>
      <c r="P123" s="598"/>
      <c r="Q123" s="598"/>
      <c r="R123" s="598"/>
      <c r="S123" s="598"/>
      <c r="T123" s="598"/>
      <c r="U123" s="598"/>
      <c r="V123" s="598"/>
      <c r="W123" s="537"/>
    </row>
    <row r="124" spans="2:23" s="485" customFormat="1" ht="31.5" customHeight="1" x14ac:dyDescent="0.3">
      <c r="B124" s="594"/>
      <c r="C124" s="1712" t="s">
        <v>432</v>
      </c>
      <c r="D124" s="1713"/>
      <c r="E124" s="1713"/>
      <c r="F124" s="1713"/>
      <c r="G124" s="1713"/>
      <c r="H124" s="1713"/>
      <c r="I124" s="1713"/>
      <c r="J124" s="1713"/>
      <c r="K124" s="1713"/>
      <c r="L124" s="1713"/>
      <c r="M124" s="1713"/>
      <c r="N124" s="1713"/>
      <c r="O124" s="1713"/>
      <c r="P124" s="1713"/>
      <c r="Q124" s="1713"/>
      <c r="R124" s="1713"/>
      <c r="S124" s="1713"/>
      <c r="T124" s="1713"/>
      <c r="U124" s="1713"/>
      <c r="V124" s="1713"/>
      <c r="W124" s="1713"/>
    </row>
    <row r="125" spans="2:23" s="489" customFormat="1" ht="20.100000000000001" customHeight="1" x14ac:dyDescent="0.25">
      <c r="B125" s="706"/>
      <c r="C125" s="1714" t="s">
        <v>433</v>
      </c>
      <c r="D125" s="1715"/>
      <c r="E125" s="1715"/>
      <c r="F125" s="1715"/>
      <c r="G125" s="1715"/>
      <c r="H125" s="1715"/>
      <c r="I125" s="1715"/>
      <c r="J125" s="1715"/>
      <c r="K125" s="1715"/>
      <c r="L125" s="1715"/>
      <c r="M125" s="1715"/>
      <c r="N125" s="1715"/>
      <c r="O125" s="1704" t="str">
        <f>IF(NOT(ISBLANK(County!D23)),County!D23,"")</f>
        <v>Clerk of Superior Court</v>
      </c>
      <c r="P125" s="1716"/>
      <c r="Q125" s="1716"/>
      <c r="R125" s="1716"/>
      <c r="S125" s="1716"/>
      <c r="T125" s="1716"/>
      <c r="U125" s="1692" t="s">
        <v>434</v>
      </c>
      <c r="V125" s="1692"/>
      <c r="W125" s="1692"/>
    </row>
    <row r="126" spans="2:23" s="489" customFormat="1" ht="20.100000000000001" customHeight="1" x14ac:dyDescent="0.25">
      <c r="B126" s="706"/>
      <c r="C126" s="1692" t="str">
        <f>IF(NOT(ISBLANK(County!D24)),"by telephone:  "&amp;County!D24&amp;",  by fax:  "&amp;County!D25&amp;",  by email or website:  "&amp;County!D26&amp;".","")</f>
        <v>by telephone:  (602) 506-3762,  by fax:  (602) 506-1937,  by email or website:  https://www.clerkofcourt.maricopa.gov/.</v>
      </c>
      <c r="D126" s="1692"/>
      <c r="E126" s="1692"/>
      <c r="F126" s="1692"/>
      <c r="G126" s="1692"/>
      <c r="H126" s="1692"/>
      <c r="I126" s="1692"/>
      <c r="J126" s="1692"/>
      <c r="K126" s="1692"/>
      <c r="L126" s="1692"/>
      <c r="M126" s="1692"/>
      <c r="N126" s="1692"/>
      <c r="O126" s="1692"/>
      <c r="P126" s="1692"/>
      <c r="Q126" s="1692"/>
      <c r="R126" s="1692"/>
      <c r="S126" s="1692"/>
      <c r="T126" s="1692"/>
      <c r="U126" s="1692"/>
      <c r="V126" s="1692"/>
      <c r="W126" s="1692"/>
    </row>
    <row r="127" spans="2:23" s="489" customFormat="1" ht="20.100000000000001" customHeight="1" x14ac:dyDescent="0.25">
      <c r="B127" s="706"/>
      <c r="C127" s="1692" t="s">
        <v>435</v>
      </c>
      <c r="D127" s="1692"/>
      <c r="E127" s="1692"/>
      <c r="F127" s="1692"/>
      <c r="G127" s="1692"/>
      <c r="H127" s="1692"/>
      <c r="I127" s="1692"/>
      <c r="J127" s="1692"/>
      <c r="K127" s="1692"/>
      <c r="L127" s="1692"/>
      <c r="M127" s="1692"/>
      <c r="N127" s="1692"/>
      <c r="O127" s="1704" t="str">
        <f>IF(NOT(ISBLANK(County!D27)),County!D27&amp;",","")</f>
        <v>Clerk of Superior Court, Family Court Services,</v>
      </c>
      <c r="P127" s="1704"/>
      <c r="Q127" s="1704"/>
      <c r="R127" s="1704"/>
      <c r="S127" s="1704"/>
      <c r="T127" s="1704"/>
      <c r="U127" s="1704"/>
      <c r="V127" s="1704"/>
      <c r="W127" s="1704"/>
    </row>
    <row r="128" spans="2:23" s="489" customFormat="1" ht="20.100000000000001" customHeight="1" x14ac:dyDescent="0.25">
      <c r="B128" s="706"/>
      <c r="C128" s="1704" t="str">
        <f>IF(NOT(ISBLANK(County!D28)),County!D28,"")</f>
        <v>201 W. Jefferson, Phoenix, AZ 85003</v>
      </c>
      <c r="D128" s="1704"/>
      <c r="E128" s="1704"/>
      <c r="F128" s="1704"/>
      <c r="G128" s="1704"/>
      <c r="H128" s="1704"/>
      <c r="I128" s="1704"/>
      <c r="J128" s="1704"/>
      <c r="K128" s="1704"/>
      <c r="L128" s="1704"/>
      <c r="M128" s="1704"/>
      <c r="N128" s="1704"/>
      <c r="O128" s="1704"/>
      <c r="P128" s="1704"/>
      <c r="Q128" s="1704"/>
      <c r="R128" s="1704"/>
      <c r="S128" s="1704"/>
      <c r="T128" s="1716"/>
      <c r="U128" s="1713" t="s">
        <v>436</v>
      </c>
      <c r="V128" s="1713"/>
      <c r="W128" s="1713"/>
    </row>
    <row r="129" spans="2:23" s="489" customFormat="1" ht="20.100000000000001" customHeight="1" x14ac:dyDescent="0.25">
      <c r="B129" s="706"/>
      <c r="C129" s="1723" t="s">
        <v>437</v>
      </c>
      <c r="D129" s="1640"/>
      <c r="E129" s="1640"/>
      <c r="F129" s="1640"/>
      <c r="G129" s="1640"/>
      <c r="H129" s="1640"/>
      <c r="I129" s="1640"/>
      <c r="J129" s="1640"/>
      <c r="K129" s="1640"/>
      <c r="L129" s="1640"/>
      <c r="M129" s="1640"/>
      <c r="N129" s="1640"/>
      <c r="O129" s="1659" t="str">
        <f>IF(NOT(ISBLANK(County!D29)),County!D29,"")</f>
        <v>Clerk of Superior Court</v>
      </c>
      <c r="P129" s="1659"/>
      <c r="Q129" s="1659"/>
      <c r="R129" s="1659"/>
      <c r="S129" s="1659"/>
      <c r="T129" s="1710"/>
      <c r="U129" s="1640" t="s">
        <v>434</v>
      </c>
      <c r="V129" s="1640"/>
      <c r="W129" s="1640"/>
    </row>
    <row r="130" spans="2:23" s="489" customFormat="1" ht="20.100000000000001" customHeight="1" x14ac:dyDescent="0.25">
      <c r="B130" s="706"/>
      <c r="C130" s="1724" t="str">
        <f>IF(NOT(ISBLANK(County!D30)),"by telephone:  "&amp;County!D30&amp;",  by fax:  "&amp;County!D31&amp;",  by email or website:  "&amp;County!D32&amp;".","")</f>
        <v>by telephone:  (602) 506-3762,  by fax:  (602) 506-1937,  by email or website:  https://www.clerkofcourt.maricopa.gov/.</v>
      </c>
      <c r="D130" s="1692"/>
      <c r="E130" s="1692"/>
      <c r="F130" s="1692"/>
      <c r="G130" s="1692"/>
      <c r="H130" s="1692"/>
      <c r="I130" s="1692"/>
      <c r="J130" s="1692"/>
      <c r="K130" s="1692"/>
      <c r="L130" s="1692"/>
      <c r="M130" s="1692"/>
      <c r="N130" s="1692"/>
      <c r="O130" s="1692"/>
      <c r="P130" s="1692"/>
      <c r="Q130" s="1692"/>
      <c r="R130" s="1692"/>
      <c r="S130" s="1692"/>
      <c r="T130" s="1692"/>
      <c r="U130" s="1692"/>
      <c r="V130" s="1692"/>
      <c r="W130" s="1692"/>
    </row>
    <row r="131" spans="2:23" s="490" customFormat="1" ht="28.95" customHeight="1" x14ac:dyDescent="0.25">
      <c r="B131" s="551"/>
      <c r="C131" s="551" t="s">
        <v>438</v>
      </c>
      <c r="D131" s="551"/>
      <c r="E131" s="551"/>
      <c r="F131" s="551"/>
      <c r="G131" s="551"/>
      <c r="H131" s="551"/>
      <c r="I131" s="551"/>
      <c r="J131" s="551"/>
      <c r="K131" s="551"/>
      <c r="L131" s="551"/>
      <c r="M131" s="551"/>
      <c r="N131" s="551"/>
      <c r="O131" s="551"/>
      <c r="P131" s="551"/>
      <c r="Q131" s="551"/>
      <c r="R131" s="551"/>
      <c r="S131" s="551"/>
      <c r="T131" s="551"/>
      <c r="U131" s="551"/>
      <c r="V131" s="551"/>
      <c r="W131" s="551"/>
    </row>
    <row r="132" spans="2:23" s="485" customFormat="1" ht="72" customHeight="1" x14ac:dyDescent="0.3">
      <c r="B132" s="594"/>
      <c r="C132" s="1702" t="s">
        <v>439</v>
      </c>
      <c r="D132" s="1702"/>
      <c r="E132" s="1702"/>
      <c r="F132" s="1702"/>
      <c r="G132" s="1702"/>
      <c r="H132" s="1702"/>
      <c r="I132" s="1702"/>
      <c r="J132" s="1702"/>
      <c r="K132" s="1702"/>
      <c r="L132" s="1702"/>
      <c r="M132" s="1702"/>
      <c r="N132" s="1702"/>
      <c r="O132" s="1702"/>
      <c r="P132" s="1702"/>
      <c r="Q132" s="1702"/>
      <c r="R132" s="1702"/>
      <c r="S132" s="1702"/>
      <c r="T132" s="1702"/>
      <c r="U132" s="1702"/>
      <c r="V132" s="1702"/>
      <c r="W132" s="1702"/>
    </row>
    <row r="133" spans="2:23" s="485" customFormat="1" ht="14.4" customHeight="1" x14ac:dyDescent="0.3">
      <c r="B133" s="594"/>
      <c r="C133" s="705"/>
      <c r="D133" s="705"/>
      <c r="E133" s="705"/>
      <c r="F133" s="705"/>
      <c r="G133" s="705"/>
      <c r="H133" s="705"/>
      <c r="I133" s="705"/>
      <c r="J133" s="705"/>
      <c r="K133" s="705"/>
      <c r="L133" s="705"/>
      <c r="M133" s="705"/>
      <c r="N133" s="705"/>
      <c r="O133" s="705"/>
      <c r="P133" s="705"/>
      <c r="Q133" s="705"/>
      <c r="R133" s="705"/>
      <c r="S133" s="705"/>
      <c r="T133" s="705"/>
      <c r="U133" s="705"/>
      <c r="V133" s="705"/>
      <c r="W133" s="705"/>
    </row>
    <row r="134" spans="2:23" s="489" customFormat="1" ht="72" customHeight="1" x14ac:dyDescent="0.25">
      <c r="B134" s="552"/>
      <c r="C134" s="1735" t="s">
        <v>440</v>
      </c>
      <c r="D134" s="1735"/>
      <c r="E134" s="1735"/>
      <c r="F134" s="1735"/>
      <c r="G134" s="1735"/>
      <c r="H134" s="1735"/>
      <c r="I134" s="1735"/>
      <c r="J134" s="1735"/>
      <c r="K134" s="1735"/>
      <c r="L134" s="1735"/>
      <c r="M134" s="1735"/>
      <c r="N134" s="1735"/>
      <c r="O134" s="1735"/>
      <c r="P134" s="1735"/>
      <c r="Q134" s="1735"/>
      <c r="R134" s="1735"/>
      <c r="S134" s="1735"/>
      <c r="T134" s="1735"/>
      <c r="U134" s="1735"/>
      <c r="V134" s="1735"/>
      <c r="W134" s="553"/>
    </row>
    <row r="135" spans="2:23" s="485" customFormat="1" ht="12.75" customHeight="1" x14ac:dyDescent="0.3">
      <c r="B135" s="594"/>
      <c r="C135" s="714"/>
      <c r="D135" s="714"/>
      <c r="E135" s="714"/>
      <c r="F135" s="714"/>
      <c r="G135" s="714"/>
      <c r="H135" s="714"/>
      <c r="I135" s="714"/>
      <c r="J135" s="714"/>
      <c r="K135" s="714"/>
      <c r="L135" s="714"/>
      <c r="M135" s="714"/>
      <c r="N135" s="714"/>
      <c r="O135" s="714"/>
      <c r="P135" s="714"/>
      <c r="Q135" s="714"/>
      <c r="R135" s="714"/>
      <c r="S135" s="714"/>
      <c r="T135" s="714"/>
      <c r="U135" s="714"/>
      <c r="V135" s="714"/>
      <c r="W135" s="714"/>
    </row>
    <row r="136" spans="2:23" s="485" customFormat="1" ht="22.5" customHeight="1" x14ac:dyDescent="0.3">
      <c r="B136" s="594"/>
      <c r="C136" s="1736" t="s">
        <v>441</v>
      </c>
      <c r="D136" s="1737"/>
      <c r="E136" s="1737"/>
      <c r="F136" s="1737"/>
      <c r="G136" s="1737"/>
      <c r="H136" s="1737"/>
      <c r="I136" s="1737"/>
      <c r="J136" s="1737"/>
      <c r="K136" s="1737"/>
      <c r="L136" s="1737"/>
      <c r="M136" s="1737"/>
      <c r="N136" s="1737"/>
      <c r="O136" s="1737"/>
      <c r="P136" s="1737"/>
      <c r="Q136" s="1737"/>
      <c r="R136" s="1737"/>
      <c r="S136" s="1737"/>
      <c r="T136" s="1737"/>
      <c r="U136" s="1737"/>
      <c r="V136" s="1737"/>
      <c r="W136" s="1737"/>
    </row>
    <row r="137" spans="2:23" s="485" customFormat="1" ht="12.75" customHeight="1" x14ac:dyDescent="0.3">
      <c r="B137" s="594"/>
      <c r="C137" s="703"/>
      <c r="D137" s="703"/>
      <c r="E137" s="703"/>
      <c r="F137" s="703"/>
      <c r="G137" s="703"/>
      <c r="H137" s="703"/>
      <c r="I137" s="703"/>
      <c r="J137" s="703"/>
      <c r="K137" s="703"/>
      <c r="L137" s="703"/>
      <c r="M137" s="703"/>
      <c r="N137" s="703"/>
      <c r="O137" s="703"/>
      <c r="P137" s="703"/>
      <c r="Q137" s="703"/>
      <c r="R137" s="703"/>
      <c r="S137" s="703"/>
      <c r="T137" s="703"/>
      <c r="U137" s="703"/>
      <c r="V137" s="703"/>
      <c r="W137" s="703"/>
    </row>
    <row r="138" spans="2:23" s="485" customFormat="1" ht="32.25" customHeight="1" x14ac:dyDescent="0.3">
      <c r="B138" s="594"/>
      <c r="C138" s="1738" t="str">
        <f ca="1">"This order is effective "&amp;TEXT(OrderDate,"mmmm d, yyyy")&amp;".  All rules on page 2 under REMITTANCE INFORMATION apply after the effective date."</f>
        <v>This order is effective December 30, 2022.  All rules on page 2 under REMITTANCE INFORMATION apply after the effective date.</v>
      </c>
      <c r="D138" s="1739"/>
      <c r="E138" s="1739"/>
      <c r="F138" s="1739"/>
      <c r="G138" s="1739"/>
      <c r="H138" s="1739"/>
      <c r="I138" s="1739"/>
      <c r="J138" s="1739"/>
      <c r="K138" s="1739"/>
      <c r="L138" s="1739"/>
      <c r="M138" s="1739"/>
      <c r="N138" s="1739"/>
      <c r="O138" s="1739"/>
      <c r="P138" s="1739"/>
      <c r="Q138" s="1739"/>
      <c r="R138" s="1739"/>
      <c r="S138" s="1739"/>
      <c r="T138" s="1739"/>
      <c r="U138" s="1739"/>
      <c r="V138" s="1739"/>
      <c r="W138" s="1739"/>
    </row>
    <row r="139" spans="2:23" s="485" customFormat="1" ht="28.95" customHeight="1" x14ac:dyDescent="0.3">
      <c r="B139" s="594"/>
      <c r="C139" s="1717" t="s">
        <v>442</v>
      </c>
      <c r="D139" s="1717"/>
      <c r="E139" s="1717"/>
      <c r="F139" s="1717"/>
      <c r="G139" s="1717"/>
      <c r="H139" s="1717"/>
      <c r="I139" s="1717"/>
      <c r="J139" s="1717"/>
      <c r="K139" s="1717"/>
      <c r="L139" s="1717"/>
      <c r="M139" s="1717"/>
      <c r="N139" s="1717"/>
      <c r="O139" s="1717"/>
      <c r="P139" s="390"/>
      <c r="Q139" s="390"/>
      <c r="R139" s="390"/>
      <c r="S139" s="390"/>
      <c r="T139" s="1717"/>
      <c r="U139" s="1740"/>
      <c r="V139" s="1740"/>
      <c r="W139" s="603"/>
    </row>
    <row r="140" spans="2:23" s="485" customFormat="1" ht="15.75" customHeight="1" x14ac:dyDescent="0.3">
      <c r="B140" s="594"/>
      <c r="C140" s="1717" t="s">
        <v>443</v>
      </c>
      <c r="D140" s="1718"/>
      <c r="E140" s="1718"/>
      <c r="F140" s="1718"/>
      <c r="G140" s="1718"/>
      <c r="H140" s="1718"/>
      <c r="I140" s="1718"/>
      <c r="J140" s="1718"/>
      <c r="K140" s="1718"/>
      <c r="L140" s="1718"/>
      <c r="M140" s="1718"/>
      <c r="N140" s="1718"/>
      <c r="O140" s="1718"/>
      <c r="P140" s="1718"/>
      <c r="Q140" s="1719" t="str">
        <f ca="1">IF(ISBLANK(Worksheet!J296),Worksheet!J295,Worksheet!J296)</f>
        <v/>
      </c>
      <c r="R140" s="1720"/>
      <c r="S140" s="982"/>
      <c r="T140" s="982"/>
      <c r="U140" s="1721" t="str">
        <f ca="1">IF(ISBLANK(Worksheet!O296),Worksheet!O295,Worksheet!O296)</f>
        <v/>
      </c>
      <c r="V140" s="1722"/>
      <c r="W140" s="390"/>
    </row>
    <row r="141" spans="2:23" s="485" customFormat="1" ht="43.2" customHeight="1" x14ac:dyDescent="0.3">
      <c r="B141" s="594"/>
      <c r="C141" s="1725" t="s">
        <v>444</v>
      </c>
      <c r="D141" s="1725"/>
      <c r="E141" s="1725"/>
      <c r="F141" s="1725"/>
      <c r="G141" s="1725"/>
      <c r="H141" s="1725"/>
      <c r="I141" s="1725"/>
      <c r="J141" s="1725"/>
      <c r="K141" s="1725"/>
      <c r="L141" s="1725"/>
      <c r="M141" s="1725"/>
      <c r="N141" s="1725"/>
      <c r="O141" s="1725"/>
      <c r="P141" s="1725"/>
      <c r="Q141" s="1725"/>
      <c r="R141" s="1725"/>
      <c r="S141" s="1725"/>
      <c r="T141" s="1725"/>
      <c r="U141" s="1725"/>
      <c r="V141" s="1725"/>
      <c r="W141" s="1725"/>
    </row>
    <row r="142" spans="2:23" s="485" customFormat="1" ht="12.75" customHeight="1" x14ac:dyDescent="0.3">
      <c r="B142" s="594"/>
      <c r="C142" s="703"/>
      <c r="D142" s="703"/>
      <c r="E142" s="703"/>
      <c r="F142" s="703"/>
      <c r="G142" s="703"/>
      <c r="H142" s="703"/>
      <c r="I142" s="703"/>
      <c r="J142" s="703"/>
      <c r="K142" s="703"/>
      <c r="L142" s="703"/>
      <c r="M142" s="703"/>
      <c r="N142" s="703"/>
      <c r="O142" s="703"/>
      <c r="P142" s="703"/>
      <c r="Q142" s="703"/>
      <c r="R142" s="703"/>
      <c r="S142" s="703"/>
      <c r="T142" s="703"/>
      <c r="U142" s="703"/>
      <c r="V142" s="703"/>
      <c r="W142" s="703"/>
    </row>
    <row r="143" spans="2:23" s="485" customFormat="1" ht="12.75" customHeight="1" x14ac:dyDescent="0.3">
      <c r="B143" s="594"/>
      <c r="C143" s="714"/>
      <c r="D143" s="714"/>
      <c r="E143" s="714"/>
      <c r="F143" s="714"/>
      <c r="G143" s="714"/>
      <c r="H143" s="714"/>
      <c r="I143" s="714"/>
      <c r="J143" s="714"/>
      <c r="K143" s="714"/>
      <c r="L143" s="714"/>
      <c r="M143" s="714"/>
      <c r="N143" s="714"/>
      <c r="O143" s="714"/>
      <c r="P143" s="714"/>
      <c r="Q143" s="714"/>
      <c r="R143" s="714"/>
      <c r="S143" s="714"/>
      <c r="T143" s="714"/>
      <c r="U143" s="714"/>
      <c r="V143" s="714"/>
      <c r="W143" s="714"/>
    </row>
    <row r="144" spans="2:23" s="485" customFormat="1" ht="24" customHeight="1" x14ac:dyDescent="0.3">
      <c r="B144" s="594"/>
      <c r="C144" s="714"/>
      <c r="D144" s="714"/>
      <c r="E144" s="714"/>
      <c r="F144" s="714"/>
      <c r="G144" s="714"/>
      <c r="H144" s="1726" t="s">
        <v>445</v>
      </c>
      <c r="I144" s="1727"/>
      <c r="J144" s="1728"/>
      <c r="K144" s="1728"/>
      <c r="L144" s="1728"/>
      <c r="M144" s="1728"/>
      <c r="N144" s="1728"/>
      <c r="O144" s="1728"/>
      <c r="P144" s="1728"/>
      <c r="Q144" s="1728"/>
      <c r="R144" s="1729"/>
      <c r="S144" s="714"/>
      <c r="T144" s="714"/>
      <c r="U144" s="714"/>
      <c r="V144" s="714"/>
      <c r="W144" s="714"/>
    </row>
    <row r="145" spans="2:23" s="485" customFormat="1" ht="115.2" customHeight="1" x14ac:dyDescent="0.3">
      <c r="B145" s="594"/>
      <c r="C145" s="594"/>
      <c r="D145" s="708"/>
      <c r="E145" s="708"/>
      <c r="F145" s="708"/>
      <c r="G145" s="708"/>
      <c r="H145" s="1730" t="s">
        <v>446</v>
      </c>
      <c r="I145" s="1731"/>
      <c r="J145" s="1732"/>
      <c r="K145" s="1732"/>
      <c r="L145" s="1732"/>
      <c r="M145" s="1732"/>
      <c r="N145" s="1732"/>
      <c r="O145" s="1732"/>
      <c r="P145" s="1732"/>
      <c r="Q145" s="1732"/>
      <c r="R145" s="1733"/>
      <c r="S145" s="708"/>
      <c r="T145" s="708"/>
      <c r="U145" s="708"/>
      <c r="V145" s="708"/>
      <c r="W145" s="594"/>
    </row>
    <row r="146" spans="2:23" ht="14.4" x14ac:dyDescent="0.3">
      <c r="B146" s="1639"/>
      <c r="C146" s="1639"/>
      <c r="D146" s="1639"/>
      <c r="E146" s="1639"/>
      <c r="F146" s="1639"/>
      <c r="G146" s="1639"/>
      <c r="H146" s="1639"/>
      <c r="I146" s="1639"/>
      <c r="J146" s="1639"/>
      <c r="K146" s="1639"/>
      <c r="L146" s="1639"/>
      <c r="M146" s="1639"/>
      <c r="N146" s="1639"/>
      <c r="O146" s="1639"/>
      <c r="P146" s="1639"/>
      <c r="Q146" s="1639"/>
      <c r="R146" s="1639"/>
      <c r="S146" s="1639"/>
      <c r="T146" s="1639"/>
      <c r="U146" s="1639"/>
      <c r="V146" s="1639"/>
      <c r="W146" s="1639"/>
    </row>
    <row r="147" spans="2:23" customFormat="1" ht="13.2" x14ac:dyDescent="0.25">
      <c r="B147" s="592"/>
      <c r="C147" s="592"/>
      <c r="D147" s="592"/>
      <c r="E147" s="592"/>
      <c r="F147" s="592"/>
      <c r="G147" s="592"/>
      <c r="H147" s="592"/>
      <c r="I147" s="592"/>
      <c r="J147" s="592"/>
      <c r="K147" s="592"/>
      <c r="L147" s="592"/>
      <c r="M147" s="592"/>
      <c r="N147" s="592"/>
      <c r="O147" s="592"/>
      <c r="P147" s="592"/>
      <c r="Q147" s="592"/>
      <c r="R147" s="592"/>
      <c r="S147" s="592"/>
      <c r="T147" s="592"/>
      <c r="U147" s="592"/>
      <c r="V147" s="592"/>
      <c r="W147" s="592"/>
    </row>
    <row r="148" spans="2:23" customFormat="1" ht="13.2" x14ac:dyDescent="0.25">
      <c r="B148" s="592"/>
      <c r="C148" s="592"/>
      <c r="D148" s="592"/>
      <c r="E148" s="592"/>
      <c r="F148" s="592"/>
      <c r="G148" s="592"/>
      <c r="H148" s="592"/>
      <c r="I148" s="592"/>
      <c r="J148" s="592"/>
      <c r="K148" s="592"/>
      <c r="L148" s="592"/>
      <c r="M148" s="592"/>
      <c r="N148" s="592"/>
      <c r="O148" s="592"/>
      <c r="P148" s="592"/>
      <c r="Q148" s="592"/>
      <c r="R148" s="592"/>
      <c r="S148" s="592"/>
      <c r="T148" s="592"/>
      <c r="U148" s="592"/>
      <c r="V148" s="592"/>
      <c r="W148" s="592"/>
    </row>
    <row r="149" spans="2:23" customFormat="1" ht="13.2" x14ac:dyDescent="0.25">
      <c r="B149" s="592"/>
      <c r="C149" s="592"/>
      <c r="D149" s="592"/>
      <c r="E149" s="592"/>
      <c r="F149" s="592"/>
      <c r="G149" s="592"/>
      <c r="H149" s="592"/>
      <c r="I149" s="592"/>
      <c r="J149" s="592"/>
      <c r="K149" s="592"/>
      <c r="L149" s="592"/>
      <c r="M149" s="592"/>
      <c r="N149" s="592"/>
      <c r="O149" s="592"/>
      <c r="P149" s="592"/>
      <c r="Q149" s="592"/>
      <c r="R149" s="592"/>
      <c r="S149" s="592"/>
      <c r="T149" s="592"/>
      <c r="U149" s="592"/>
      <c r="V149" s="592"/>
      <c r="W149" s="592"/>
    </row>
    <row r="150" spans="2:23" customFormat="1" ht="13.2" x14ac:dyDescent="0.25">
      <c r="B150" s="592"/>
      <c r="C150" s="592"/>
      <c r="D150" s="592"/>
      <c r="E150" s="592"/>
      <c r="F150" s="592"/>
      <c r="G150" s="592"/>
      <c r="H150" s="592"/>
      <c r="I150" s="592"/>
      <c r="J150" s="592"/>
      <c r="K150" s="592"/>
      <c r="L150" s="592"/>
      <c r="M150" s="592"/>
      <c r="N150" s="592"/>
      <c r="O150" s="592"/>
      <c r="P150" s="592"/>
      <c r="Q150" s="592"/>
      <c r="R150" s="592"/>
      <c r="S150" s="592"/>
      <c r="T150" s="592"/>
      <c r="U150" s="592"/>
      <c r="V150" s="592"/>
      <c r="W150" s="592"/>
    </row>
    <row r="151" spans="2:23" customFormat="1" ht="13.2" x14ac:dyDescent="0.25">
      <c r="B151" s="592"/>
      <c r="C151" s="592"/>
      <c r="D151" s="592"/>
      <c r="E151" s="592"/>
      <c r="F151" s="592"/>
      <c r="G151" s="592"/>
      <c r="H151" s="592"/>
      <c r="I151" s="592"/>
      <c r="J151" s="592"/>
      <c r="K151" s="592"/>
      <c r="L151" s="592"/>
      <c r="M151" s="592"/>
      <c r="N151" s="592"/>
      <c r="O151" s="592"/>
      <c r="P151" s="592"/>
      <c r="Q151" s="592"/>
      <c r="R151" s="592"/>
      <c r="S151" s="592"/>
      <c r="T151" s="592"/>
      <c r="U151" s="592"/>
      <c r="V151" s="592"/>
      <c r="W151" s="592"/>
    </row>
    <row r="152" spans="2:23" customFormat="1" ht="13.2" x14ac:dyDescent="0.25">
      <c r="B152" s="592"/>
      <c r="C152" s="592"/>
      <c r="D152" s="592"/>
      <c r="E152" s="592"/>
      <c r="F152" s="592"/>
      <c r="G152" s="592"/>
      <c r="H152" s="592"/>
      <c r="I152" s="592"/>
      <c r="J152" s="592"/>
      <c r="K152" s="592"/>
      <c r="L152" s="592"/>
      <c r="M152" s="592"/>
      <c r="N152" s="592"/>
      <c r="O152" s="592"/>
      <c r="P152" s="592"/>
      <c r="Q152" s="592"/>
      <c r="R152" s="592"/>
      <c r="S152" s="592"/>
      <c r="T152" s="592"/>
      <c r="U152" s="592"/>
      <c r="V152" s="592"/>
      <c r="W152" s="592"/>
    </row>
    <row r="153" spans="2:23" customFormat="1" ht="13.2" x14ac:dyDescent="0.25">
      <c r="B153" s="592"/>
      <c r="C153" s="592"/>
      <c r="D153" s="592"/>
      <c r="E153" s="592"/>
      <c r="F153" s="592"/>
      <c r="G153" s="592"/>
      <c r="H153" s="592"/>
      <c r="I153" s="592"/>
      <c r="J153" s="592"/>
      <c r="K153" s="592"/>
      <c r="L153" s="592"/>
      <c r="M153" s="592"/>
      <c r="N153" s="592"/>
      <c r="O153" s="592"/>
      <c r="P153" s="592"/>
      <c r="Q153" s="592"/>
      <c r="R153" s="592"/>
      <c r="S153" s="592"/>
      <c r="T153" s="592"/>
      <c r="U153" s="592"/>
      <c r="V153" s="592"/>
      <c r="W153" s="592"/>
    </row>
    <row r="154" spans="2:23" customFormat="1" ht="13.2" x14ac:dyDescent="0.25">
      <c r="B154" s="592"/>
      <c r="C154" s="592"/>
      <c r="D154" s="592"/>
      <c r="E154" s="592"/>
      <c r="F154" s="592"/>
      <c r="G154" s="592"/>
      <c r="H154" s="592"/>
      <c r="I154" s="592"/>
      <c r="J154" s="592"/>
      <c r="K154" s="592"/>
      <c r="L154" s="592"/>
      <c r="M154" s="592"/>
      <c r="N154" s="592"/>
      <c r="O154" s="592"/>
      <c r="P154" s="592"/>
      <c r="Q154" s="592"/>
      <c r="R154" s="592"/>
      <c r="S154" s="592"/>
      <c r="T154" s="592"/>
      <c r="U154" s="592"/>
      <c r="V154" s="592"/>
      <c r="W154" s="592"/>
    </row>
    <row r="155" spans="2:23" customFormat="1" ht="13.2" x14ac:dyDescent="0.25">
      <c r="B155" s="592"/>
      <c r="C155" s="592"/>
      <c r="D155" s="592"/>
      <c r="E155" s="592"/>
      <c r="F155" s="592"/>
      <c r="G155" s="592"/>
      <c r="H155" s="592"/>
      <c r="I155" s="592"/>
      <c r="J155" s="592"/>
      <c r="K155" s="592"/>
      <c r="L155" s="592"/>
      <c r="M155" s="592"/>
      <c r="N155" s="592"/>
      <c r="O155" s="592"/>
      <c r="P155" s="592"/>
      <c r="Q155" s="592"/>
      <c r="R155" s="592"/>
      <c r="S155" s="592"/>
      <c r="T155" s="592"/>
      <c r="U155" s="592"/>
      <c r="V155" s="592"/>
      <c r="W155" s="592"/>
    </row>
    <row r="156" spans="2:23" customFormat="1" ht="13.2" x14ac:dyDescent="0.25">
      <c r="B156" s="592"/>
      <c r="C156" s="592"/>
      <c r="D156" s="592"/>
      <c r="E156" s="592"/>
      <c r="F156" s="592"/>
      <c r="G156" s="592"/>
      <c r="H156" s="592"/>
      <c r="I156" s="592"/>
      <c r="J156" s="592"/>
      <c r="K156" s="592"/>
      <c r="L156" s="592"/>
      <c r="M156" s="592"/>
      <c r="N156" s="592"/>
      <c r="O156" s="592"/>
      <c r="P156" s="592"/>
      <c r="Q156" s="592"/>
      <c r="R156" s="592"/>
      <c r="S156" s="592"/>
      <c r="T156" s="592"/>
      <c r="U156" s="592"/>
      <c r="V156" s="592"/>
      <c r="W156" s="592"/>
    </row>
    <row r="157" spans="2:23" customFormat="1" ht="13.2" x14ac:dyDescent="0.25">
      <c r="B157" s="592"/>
      <c r="C157" s="592"/>
      <c r="D157" s="592"/>
      <c r="E157" s="592"/>
      <c r="F157" s="592"/>
      <c r="G157" s="592"/>
      <c r="H157" s="592"/>
      <c r="I157" s="592"/>
      <c r="J157" s="592"/>
      <c r="K157" s="592"/>
      <c r="L157" s="592"/>
      <c r="M157" s="592"/>
      <c r="N157" s="592"/>
      <c r="O157" s="592"/>
      <c r="P157" s="592"/>
      <c r="Q157" s="592"/>
      <c r="R157" s="592"/>
      <c r="S157" s="592"/>
      <c r="T157" s="592"/>
      <c r="U157" s="592"/>
      <c r="V157" s="592"/>
      <c r="W157" s="592"/>
    </row>
    <row r="158" spans="2:23" customFormat="1" ht="13.2" x14ac:dyDescent="0.25">
      <c r="B158" s="592"/>
      <c r="C158" s="592"/>
      <c r="D158" s="592"/>
      <c r="E158" s="592"/>
      <c r="F158" s="592"/>
      <c r="G158" s="592"/>
      <c r="H158" s="592"/>
      <c r="I158" s="592"/>
      <c r="J158" s="592"/>
      <c r="K158" s="592"/>
      <c r="L158" s="592"/>
      <c r="M158" s="592"/>
      <c r="N158" s="592"/>
      <c r="O158" s="592"/>
      <c r="P158" s="592"/>
      <c r="Q158" s="592"/>
      <c r="R158" s="592"/>
      <c r="S158" s="592"/>
      <c r="T158" s="592"/>
      <c r="U158" s="592"/>
      <c r="V158" s="592"/>
      <c r="W158" s="592"/>
    </row>
    <row r="159" spans="2:23" customFormat="1" ht="13.2" x14ac:dyDescent="0.25">
      <c r="B159" s="592"/>
      <c r="C159" s="592"/>
      <c r="D159" s="592"/>
      <c r="E159" s="592"/>
      <c r="F159" s="592"/>
      <c r="G159" s="592"/>
      <c r="H159" s="592"/>
      <c r="I159" s="592"/>
      <c r="J159" s="592"/>
      <c r="K159" s="592"/>
      <c r="L159" s="592"/>
      <c r="M159" s="592"/>
      <c r="N159" s="592"/>
      <c r="O159" s="592"/>
      <c r="P159" s="592"/>
      <c r="Q159" s="592"/>
      <c r="R159" s="592"/>
      <c r="S159" s="592"/>
      <c r="T159" s="592"/>
      <c r="U159" s="592"/>
      <c r="V159" s="592"/>
      <c r="W159" s="592"/>
    </row>
    <row r="160" spans="2:23" customFormat="1" ht="13.2" x14ac:dyDescent="0.25">
      <c r="B160" s="592"/>
      <c r="C160" s="592"/>
      <c r="D160" s="592"/>
      <c r="E160" s="592"/>
      <c r="F160" s="592"/>
      <c r="G160" s="592"/>
      <c r="H160" s="592"/>
      <c r="I160" s="592"/>
      <c r="J160" s="592"/>
      <c r="K160" s="592"/>
      <c r="L160" s="592"/>
      <c r="M160" s="592"/>
      <c r="N160" s="592"/>
      <c r="O160" s="592"/>
      <c r="P160" s="592"/>
      <c r="Q160" s="592"/>
      <c r="R160" s="592"/>
      <c r="S160" s="592"/>
      <c r="T160" s="592"/>
      <c r="U160" s="592"/>
      <c r="V160" s="592"/>
      <c r="W160" s="592"/>
    </row>
    <row r="161" spans="9:11" customFormat="1" ht="13.2" x14ac:dyDescent="0.25">
      <c r="I161" s="592"/>
      <c r="J161" s="592"/>
      <c r="K161" s="592"/>
    </row>
    <row r="162" spans="9:11" customFormat="1" ht="13.2" x14ac:dyDescent="0.25">
      <c r="I162" s="592"/>
      <c r="J162" s="592"/>
      <c r="K162" s="592"/>
    </row>
    <row r="163" spans="9:11" customFormat="1" ht="13.2" x14ac:dyDescent="0.25">
      <c r="I163" s="592"/>
      <c r="J163" s="592"/>
      <c r="K163" s="592"/>
    </row>
    <row r="164" spans="9:11" customFormat="1" ht="13.2" x14ac:dyDescent="0.25">
      <c r="I164" s="592"/>
      <c r="J164" s="592"/>
      <c r="K164" s="592"/>
    </row>
    <row r="165" spans="9:11" customFormat="1" ht="13.2" x14ac:dyDescent="0.25">
      <c r="I165" s="592"/>
      <c r="J165" s="592"/>
      <c r="K165" s="592"/>
    </row>
    <row r="166" spans="9:11" customFormat="1" ht="13.2" x14ac:dyDescent="0.25">
      <c r="I166" s="592"/>
      <c r="J166" s="592"/>
      <c r="K166" s="592"/>
    </row>
    <row r="167" spans="9:11" customFormat="1" ht="13.2" x14ac:dyDescent="0.25">
      <c r="I167" s="592"/>
      <c r="J167" s="592"/>
      <c r="K167" s="592"/>
    </row>
    <row r="168" spans="9:11" customFormat="1" ht="13.2" x14ac:dyDescent="0.25">
      <c r="I168" s="592"/>
      <c r="J168" s="592"/>
      <c r="K168" s="592"/>
    </row>
    <row r="169" spans="9:11" customFormat="1" ht="13.2" x14ac:dyDescent="0.25">
      <c r="I169" s="592"/>
      <c r="J169" s="592"/>
      <c r="K169" s="592"/>
    </row>
    <row r="170" spans="9:11" customFormat="1" ht="13.2" x14ac:dyDescent="0.25">
      <c r="I170" s="592"/>
      <c r="J170" s="592"/>
      <c r="K170" s="592"/>
    </row>
    <row r="171" spans="9:11" customFormat="1" ht="13.2" x14ac:dyDescent="0.25">
      <c r="I171" s="592"/>
      <c r="J171" s="592"/>
      <c r="K171" s="592"/>
    </row>
    <row r="172" spans="9:11" customFormat="1" ht="13.2" x14ac:dyDescent="0.25">
      <c r="I172" s="592"/>
      <c r="J172" s="592"/>
      <c r="K172" s="592"/>
    </row>
    <row r="173" spans="9:11" customFormat="1" ht="13.2" x14ac:dyDescent="0.25">
      <c r="I173" s="592"/>
      <c r="J173" s="592"/>
      <c r="K173" s="592"/>
    </row>
    <row r="174" spans="9:11" customFormat="1" ht="13.2" x14ac:dyDescent="0.25">
      <c r="I174" s="592"/>
      <c r="J174" s="592"/>
      <c r="K174" s="592"/>
    </row>
    <row r="175" spans="9:11" customFormat="1" ht="13.2" x14ac:dyDescent="0.25">
      <c r="I175" s="592"/>
      <c r="J175" s="592"/>
      <c r="K175" s="592"/>
    </row>
    <row r="176" spans="9:11" customFormat="1" ht="13.2" x14ac:dyDescent="0.25">
      <c r="I176" s="592"/>
      <c r="J176" s="592"/>
      <c r="K176" s="592"/>
    </row>
    <row r="177" spans="9:11" customFormat="1" ht="13.2" x14ac:dyDescent="0.25">
      <c r="I177" s="592"/>
      <c r="J177" s="592"/>
      <c r="K177" s="592"/>
    </row>
    <row r="178" spans="9:11" customFormat="1" ht="13.2" x14ac:dyDescent="0.25">
      <c r="I178" s="592"/>
      <c r="J178" s="592"/>
      <c r="K178" s="592"/>
    </row>
    <row r="179" spans="9:11" customFormat="1" ht="13.2" x14ac:dyDescent="0.25">
      <c r="I179" s="592"/>
      <c r="J179" s="592"/>
      <c r="K179" s="592"/>
    </row>
    <row r="180" spans="9:11" customFormat="1" ht="13.2" x14ac:dyDescent="0.25">
      <c r="I180" s="592"/>
      <c r="J180" s="592"/>
      <c r="K180" s="592"/>
    </row>
    <row r="181" spans="9:11" customFormat="1" ht="13.2" x14ac:dyDescent="0.25">
      <c r="I181" s="592"/>
      <c r="J181" s="592"/>
      <c r="K181" s="592"/>
    </row>
    <row r="182" spans="9:11" customFormat="1" ht="13.2" x14ac:dyDescent="0.25">
      <c r="I182" s="592"/>
      <c r="J182" s="592"/>
      <c r="K182" s="592"/>
    </row>
    <row r="183" spans="9:11" customFormat="1" ht="13.2" x14ac:dyDescent="0.25">
      <c r="I183" s="592"/>
      <c r="J183" s="592"/>
      <c r="K183" s="592"/>
    </row>
    <row r="184" spans="9:11" customFormat="1" ht="13.2" x14ac:dyDescent="0.25">
      <c r="I184" s="592"/>
      <c r="J184" s="592"/>
      <c r="K184" s="592"/>
    </row>
    <row r="185" spans="9:11" customFormat="1" ht="13.2" x14ac:dyDescent="0.25">
      <c r="I185" s="592"/>
      <c r="J185" s="592"/>
      <c r="K185" s="592"/>
    </row>
    <row r="186" spans="9:11" customFormat="1" ht="13.2" x14ac:dyDescent="0.25">
      <c r="I186" s="592"/>
      <c r="J186" s="592"/>
      <c r="K186" s="592"/>
    </row>
    <row r="187" spans="9:11" customFormat="1" ht="13.2" x14ac:dyDescent="0.25">
      <c r="I187" s="592"/>
      <c r="J187" s="592"/>
      <c r="K187" s="592"/>
    </row>
    <row r="188" spans="9:11" customFormat="1" ht="13.2" x14ac:dyDescent="0.25">
      <c r="I188" s="592"/>
      <c r="J188" s="592"/>
      <c r="K188" s="592"/>
    </row>
    <row r="189" spans="9:11" customFormat="1" ht="13.2" x14ac:dyDescent="0.25">
      <c r="I189" s="592"/>
      <c r="J189" s="592"/>
      <c r="K189" s="592"/>
    </row>
    <row r="190" spans="9:11" customFormat="1" ht="13.2" x14ac:dyDescent="0.25">
      <c r="I190" s="592"/>
      <c r="J190" s="592"/>
      <c r="K190" s="592"/>
    </row>
    <row r="191" spans="9:11" customFormat="1" ht="13.2" x14ac:dyDescent="0.25">
      <c r="I191" s="592"/>
      <c r="J191" s="592"/>
      <c r="K191" s="592"/>
    </row>
    <row r="192" spans="9:11" customFormat="1" ht="13.2" x14ac:dyDescent="0.25">
      <c r="I192" s="592"/>
      <c r="J192" s="592"/>
      <c r="K192" s="592"/>
    </row>
    <row r="193" spans="9:11" customFormat="1" ht="13.2" x14ac:dyDescent="0.25">
      <c r="I193" s="592"/>
      <c r="J193" s="592"/>
      <c r="K193" s="592"/>
    </row>
    <row r="194" spans="9:11" customFormat="1" ht="13.2" x14ac:dyDescent="0.25">
      <c r="I194" s="592"/>
      <c r="J194" s="592"/>
      <c r="K194" s="592"/>
    </row>
    <row r="195" spans="9:11" customFormat="1" ht="13.2" x14ac:dyDescent="0.25">
      <c r="I195" s="592"/>
      <c r="J195" s="592"/>
      <c r="K195" s="592"/>
    </row>
    <row r="196" spans="9:11" customFormat="1" ht="13.2" x14ac:dyDescent="0.25">
      <c r="I196" s="592"/>
      <c r="J196" s="592"/>
      <c r="K196" s="592"/>
    </row>
    <row r="197" spans="9:11" customFormat="1" ht="13.2" x14ac:dyDescent="0.25">
      <c r="I197" s="592"/>
      <c r="J197" s="592"/>
      <c r="K197" s="592"/>
    </row>
    <row r="198" spans="9:11" customFormat="1" ht="13.2" x14ac:dyDescent="0.25">
      <c r="I198" s="592"/>
      <c r="J198" s="592"/>
      <c r="K198" s="592"/>
    </row>
    <row r="199" spans="9:11" customFormat="1" ht="13.2" x14ac:dyDescent="0.25">
      <c r="I199" s="592"/>
      <c r="J199" s="592"/>
      <c r="K199" s="592"/>
    </row>
    <row r="200" spans="9:11" customFormat="1" ht="13.2" x14ac:dyDescent="0.25">
      <c r="I200" s="592"/>
      <c r="J200" s="592"/>
      <c r="K200" s="592"/>
    </row>
    <row r="201" spans="9:11" customFormat="1" ht="13.2" x14ac:dyDescent="0.25">
      <c r="I201" s="592"/>
      <c r="J201" s="592"/>
      <c r="K201" s="592"/>
    </row>
    <row r="202" spans="9:11" customFormat="1" ht="13.2" x14ac:dyDescent="0.25">
      <c r="I202" s="592"/>
      <c r="J202" s="592"/>
      <c r="K202" s="592"/>
    </row>
    <row r="203" spans="9:11" customFormat="1" ht="13.2" x14ac:dyDescent="0.25">
      <c r="I203" s="592"/>
      <c r="J203" s="592"/>
      <c r="K203" s="592"/>
    </row>
    <row r="204" spans="9:11" customFormat="1" ht="13.2" x14ac:dyDescent="0.25">
      <c r="I204" s="592"/>
      <c r="J204" s="592"/>
      <c r="K204" s="592"/>
    </row>
    <row r="205" spans="9:11" customFormat="1" ht="13.2" x14ac:dyDescent="0.25">
      <c r="I205" s="592"/>
      <c r="J205" s="592"/>
      <c r="K205" s="592"/>
    </row>
    <row r="206" spans="9:11" customFormat="1" ht="13.2" x14ac:dyDescent="0.25">
      <c r="I206" s="592"/>
      <c r="J206" s="592"/>
      <c r="K206" s="592"/>
    </row>
    <row r="207" spans="9:11" customFormat="1" ht="13.2" x14ac:dyDescent="0.25">
      <c r="I207" s="592"/>
      <c r="J207" s="592"/>
      <c r="K207" s="592"/>
    </row>
    <row r="208" spans="9:11" customFormat="1" ht="13.2" x14ac:dyDescent="0.25">
      <c r="I208" s="592"/>
      <c r="J208" s="592"/>
      <c r="K208" s="592"/>
    </row>
    <row r="209" spans="9:11" customFormat="1" ht="13.2" x14ac:dyDescent="0.25">
      <c r="I209" s="592"/>
      <c r="J209" s="592"/>
      <c r="K209" s="592"/>
    </row>
    <row r="210" spans="9:11" customFormat="1" ht="13.2" x14ac:dyDescent="0.25">
      <c r="I210" s="592"/>
      <c r="J210" s="592"/>
      <c r="K210" s="592"/>
    </row>
    <row r="211" spans="9:11" customFormat="1" ht="13.2" x14ac:dyDescent="0.25">
      <c r="I211" s="592"/>
      <c r="J211" s="592"/>
      <c r="K211" s="592"/>
    </row>
    <row r="212" spans="9:11" customFormat="1" ht="13.2" x14ac:dyDescent="0.25">
      <c r="I212" s="592"/>
      <c r="J212" s="592"/>
      <c r="K212" s="592"/>
    </row>
    <row r="213" spans="9:11" customFormat="1" ht="13.2" x14ac:dyDescent="0.25">
      <c r="I213" s="592"/>
      <c r="J213" s="592"/>
      <c r="K213" s="592"/>
    </row>
    <row r="214" spans="9:11" customFormat="1" ht="13.2" x14ac:dyDescent="0.25">
      <c r="I214" s="592"/>
      <c r="J214" s="592"/>
      <c r="K214" s="592"/>
    </row>
    <row r="215" spans="9:11" customFormat="1" ht="13.2" x14ac:dyDescent="0.25">
      <c r="I215" s="592"/>
      <c r="J215" s="592"/>
      <c r="K215" s="592"/>
    </row>
    <row r="216" spans="9:11" customFormat="1" ht="13.2" x14ac:dyDescent="0.25">
      <c r="I216" s="592"/>
      <c r="J216" s="592"/>
      <c r="K216" s="592"/>
    </row>
    <row r="217" spans="9:11" customFormat="1" ht="13.2" x14ac:dyDescent="0.25">
      <c r="I217" s="592"/>
      <c r="J217" s="592"/>
      <c r="K217" s="592"/>
    </row>
    <row r="218" spans="9:11" customFormat="1" ht="13.2" x14ac:dyDescent="0.25">
      <c r="I218" s="592"/>
      <c r="J218" s="592"/>
      <c r="K218" s="592"/>
    </row>
    <row r="219" spans="9:11" customFormat="1" ht="13.2" x14ac:dyDescent="0.25">
      <c r="I219" s="592"/>
      <c r="J219" s="592"/>
      <c r="K219" s="592"/>
    </row>
    <row r="220" spans="9:11" customFormat="1" ht="13.2" x14ac:dyDescent="0.25">
      <c r="I220" s="592"/>
      <c r="J220" s="592"/>
      <c r="K220" s="592"/>
    </row>
    <row r="221" spans="9:11" customFormat="1" ht="13.2" x14ac:dyDescent="0.25">
      <c r="I221" s="592"/>
      <c r="J221" s="592"/>
      <c r="K221" s="592"/>
    </row>
    <row r="222" spans="9:11" customFormat="1" ht="13.2" x14ac:dyDescent="0.25">
      <c r="I222" s="592"/>
      <c r="J222" s="592"/>
      <c r="K222" s="592"/>
    </row>
    <row r="223" spans="9:11" customFormat="1" ht="13.2" x14ac:dyDescent="0.25">
      <c r="I223" s="592"/>
      <c r="J223" s="592"/>
      <c r="K223" s="592"/>
    </row>
    <row r="224" spans="9:11" customFormat="1" ht="13.2" x14ac:dyDescent="0.25">
      <c r="I224" s="592"/>
      <c r="J224" s="592"/>
      <c r="K224" s="592"/>
    </row>
    <row r="225" spans="9:11" customFormat="1" ht="13.2" x14ac:dyDescent="0.25">
      <c r="I225" s="592"/>
      <c r="J225" s="592"/>
      <c r="K225" s="592"/>
    </row>
    <row r="226" spans="9:11" customFormat="1" ht="13.2" x14ac:dyDescent="0.25">
      <c r="I226" s="592"/>
      <c r="J226" s="592"/>
      <c r="K226" s="592"/>
    </row>
    <row r="227" spans="9:11" customFormat="1" ht="13.2" x14ac:dyDescent="0.25">
      <c r="I227" s="592"/>
      <c r="J227" s="592"/>
      <c r="K227" s="592"/>
    </row>
    <row r="228" spans="9:11" customFormat="1" ht="13.2" x14ac:dyDescent="0.25">
      <c r="I228" s="592"/>
      <c r="J228" s="592"/>
      <c r="K228" s="592"/>
    </row>
    <row r="229" spans="9:11" customFormat="1" ht="13.2" x14ac:dyDescent="0.25">
      <c r="I229" s="592"/>
      <c r="J229" s="592"/>
      <c r="K229" s="592"/>
    </row>
    <row r="230" spans="9:11" customFormat="1" ht="13.2" x14ac:dyDescent="0.25">
      <c r="I230" s="592"/>
      <c r="J230" s="592"/>
      <c r="K230" s="592"/>
    </row>
    <row r="231" spans="9:11" customFormat="1" ht="13.2" x14ac:dyDescent="0.25">
      <c r="I231" s="592"/>
      <c r="J231" s="592"/>
      <c r="K231" s="592"/>
    </row>
    <row r="232" spans="9:11" customFormat="1" ht="13.2" x14ac:dyDescent="0.25">
      <c r="I232" s="592"/>
      <c r="J232" s="592"/>
      <c r="K232" s="592"/>
    </row>
    <row r="233" spans="9:11" customFormat="1" ht="13.2" x14ac:dyDescent="0.25">
      <c r="I233" s="592"/>
      <c r="J233" s="592"/>
      <c r="K233" s="592"/>
    </row>
    <row r="234" spans="9:11" customFormat="1" ht="13.2" x14ac:dyDescent="0.25">
      <c r="I234" s="592"/>
      <c r="J234" s="592"/>
      <c r="K234" s="592"/>
    </row>
    <row r="235" spans="9:11" customFormat="1" ht="13.2" x14ac:dyDescent="0.25">
      <c r="I235" s="592"/>
      <c r="J235" s="592"/>
      <c r="K235" s="592"/>
    </row>
    <row r="236" spans="9:11" customFormat="1" ht="13.2" x14ac:dyDescent="0.25">
      <c r="I236" s="592"/>
      <c r="J236" s="592"/>
      <c r="K236" s="592"/>
    </row>
    <row r="237" spans="9:11" customFormat="1" ht="13.2" x14ac:dyDescent="0.25">
      <c r="I237" s="592"/>
      <c r="J237" s="592"/>
      <c r="K237" s="592"/>
    </row>
    <row r="238" spans="9:11" customFormat="1" ht="13.2" x14ac:dyDescent="0.25">
      <c r="I238" s="592"/>
      <c r="J238" s="592"/>
      <c r="K238" s="592"/>
    </row>
    <row r="239" spans="9:11" customFormat="1" ht="13.2" x14ac:dyDescent="0.25">
      <c r="I239" s="592"/>
      <c r="J239" s="592"/>
      <c r="K239" s="592"/>
    </row>
    <row r="240" spans="9:11" customFormat="1" ht="13.2" x14ac:dyDescent="0.25">
      <c r="I240" s="592"/>
      <c r="J240" s="592"/>
      <c r="K240" s="592"/>
    </row>
    <row r="241" spans="9:11" customFormat="1" ht="13.2" x14ac:dyDescent="0.25">
      <c r="I241" s="592"/>
      <c r="J241" s="592"/>
      <c r="K241" s="592"/>
    </row>
    <row r="242" spans="9:11" customFormat="1" ht="13.2" x14ac:dyDescent="0.25">
      <c r="I242" s="592"/>
      <c r="J242" s="592"/>
      <c r="K242" s="592"/>
    </row>
    <row r="243" spans="9:11" customFormat="1" ht="13.2" x14ac:dyDescent="0.25">
      <c r="I243" s="592"/>
      <c r="J243" s="592"/>
      <c r="K243" s="592"/>
    </row>
    <row r="244" spans="9:11" customFormat="1" ht="13.2" x14ac:dyDescent="0.25">
      <c r="I244" s="592"/>
      <c r="J244" s="592"/>
      <c r="K244" s="592"/>
    </row>
    <row r="245" spans="9:11" customFormat="1" ht="13.2" x14ac:dyDescent="0.25">
      <c r="I245" s="592"/>
      <c r="J245" s="592"/>
      <c r="K245" s="592"/>
    </row>
    <row r="246" spans="9:11" customFormat="1" ht="13.2" x14ac:dyDescent="0.25">
      <c r="I246" s="592"/>
      <c r="J246" s="592"/>
      <c r="K246" s="592"/>
    </row>
    <row r="247" spans="9:11" customFormat="1" ht="13.2" x14ac:dyDescent="0.25">
      <c r="I247" s="592"/>
      <c r="J247" s="592"/>
      <c r="K247" s="592"/>
    </row>
    <row r="248" spans="9:11" customFormat="1" ht="13.2" x14ac:dyDescent="0.25">
      <c r="I248" s="592"/>
      <c r="J248" s="592"/>
      <c r="K248" s="592"/>
    </row>
    <row r="249" spans="9:11" customFormat="1" ht="13.2" x14ac:dyDescent="0.25">
      <c r="I249" s="592"/>
      <c r="J249" s="592"/>
      <c r="K249" s="592"/>
    </row>
    <row r="250" spans="9:11" customFormat="1" ht="13.2" x14ac:dyDescent="0.25">
      <c r="I250" s="592"/>
      <c r="J250" s="592"/>
      <c r="K250" s="592"/>
    </row>
    <row r="251" spans="9:11" customFormat="1" ht="13.2" x14ac:dyDescent="0.25">
      <c r="I251" s="592"/>
      <c r="J251" s="592"/>
      <c r="K251" s="592"/>
    </row>
    <row r="252" spans="9:11" customFormat="1" ht="13.2" x14ac:dyDescent="0.25">
      <c r="I252" s="592"/>
      <c r="J252" s="592"/>
      <c r="K252" s="592"/>
    </row>
    <row r="253" spans="9:11" customFormat="1" ht="13.2" x14ac:dyDescent="0.25">
      <c r="I253" s="592"/>
      <c r="J253" s="592"/>
      <c r="K253" s="592"/>
    </row>
    <row r="254" spans="9:11" customFormat="1" ht="13.2" x14ac:dyDescent="0.25">
      <c r="I254" s="592"/>
      <c r="J254" s="592"/>
      <c r="K254" s="592"/>
    </row>
    <row r="255" spans="9:11" customFormat="1" ht="13.2" x14ac:dyDescent="0.25">
      <c r="I255" s="592"/>
      <c r="J255" s="592"/>
      <c r="K255" s="592"/>
    </row>
    <row r="256" spans="9:11" customFormat="1" ht="13.2" x14ac:dyDescent="0.25">
      <c r="I256" s="592"/>
      <c r="J256" s="592"/>
      <c r="K256" s="592"/>
    </row>
    <row r="257" spans="9:11" customFormat="1" ht="13.2" x14ac:dyDescent="0.25">
      <c r="I257" s="592"/>
      <c r="J257" s="592"/>
      <c r="K257" s="592"/>
    </row>
    <row r="258" spans="9:11" customFormat="1" ht="13.2" x14ac:dyDescent="0.25">
      <c r="I258" s="592"/>
      <c r="J258" s="592"/>
      <c r="K258" s="592"/>
    </row>
    <row r="259" spans="9:11" customFormat="1" ht="13.2" x14ac:dyDescent="0.25">
      <c r="I259" s="592"/>
      <c r="J259" s="592"/>
      <c r="K259" s="592"/>
    </row>
    <row r="260" spans="9:11" customFormat="1" ht="13.2" x14ac:dyDescent="0.25">
      <c r="I260" s="592"/>
      <c r="J260" s="592"/>
      <c r="K260" s="592"/>
    </row>
    <row r="261" spans="9:11" customFormat="1" ht="13.2" x14ac:dyDescent="0.25">
      <c r="I261" s="592"/>
      <c r="J261" s="592"/>
      <c r="K261" s="592"/>
    </row>
    <row r="262" spans="9:11" customFormat="1" ht="13.2" x14ac:dyDescent="0.25">
      <c r="I262" s="592"/>
      <c r="J262" s="592"/>
      <c r="K262" s="592"/>
    </row>
    <row r="263" spans="9:11" customFormat="1" ht="13.2" x14ac:dyDescent="0.25">
      <c r="I263" s="592"/>
      <c r="J263" s="592"/>
      <c r="K263" s="592"/>
    </row>
    <row r="264" spans="9:11" customFormat="1" ht="13.2" x14ac:dyDescent="0.25">
      <c r="I264" s="592"/>
      <c r="J264" s="592"/>
      <c r="K264" s="592"/>
    </row>
    <row r="265" spans="9:11" customFormat="1" ht="13.2" x14ac:dyDescent="0.25">
      <c r="I265" s="592"/>
      <c r="J265" s="592"/>
      <c r="K265" s="592"/>
    </row>
    <row r="266" spans="9:11" customFormat="1" ht="13.2" x14ac:dyDescent="0.25">
      <c r="I266" s="592"/>
      <c r="J266" s="592"/>
      <c r="K266" s="592"/>
    </row>
    <row r="267" spans="9:11" customFormat="1" ht="13.2" x14ac:dyDescent="0.25">
      <c r="I267" s="592"/>
      <c r="J267" s="592"/>
      <c r="K267" s="592"/>
    </row>
    <row r="268" spans="9:11" customFormat="1" ht="13.2" x14ac:dyDescent="0.25">
      <c r="I268" s="592"/>
      <c r="J268" s="592"/>
      <c r="K268" s="592"/>
    </row>
    <row r="269" spans="9:11" customFormat="1" ht="13.2" x14ac:dyDescent="0.25">
      <c r="I269" s="592"/>
      <c r="J269" s="592"/>
      <c r="K269" s="592"/>
    </row>
    <row r="270" spans="9:11" customFormat="1" ht="13.2" x14ac:dyDescent="0.25">
      <c r="I270" s="592"/>
      <c r="J270" s="592"/>
      <c r="K270" s="592"/>
    </row>
    <row r="271" spans="9:11" customFormat="1" ht="13.2" x14ac:dyDescent="0.25">
      <c r="I271" s="592"/>
      <c r="J271" s="592"/>
      <c r="K271" s="592"/>
    </row>
    <row r="272" spans="9:11" customFormat="1" ht="13.2" x14ac:dyDescent="0.25">
      <c r="I272" s="592"/>
      <c r="J272" s="592"/>
      <c r="K272" s="592"/>
    </row>
    <row r="273" spans="9:11" customFormat="1" ht="13.2" x14ac:dyDescent="0.25">
      <c r="I273" s="592"/>
      <c r="J273" s="592"/>
      <c r="K273" s="592"/>
    </row>
    <row r="274" spans="9:11" customFormat="1" ht="13.2" x14ac:dyDescent="0.25">
      <c r="I274" s="592"/>
      <c r="J274" s="592"/>
      <c r="K274" s="592"/>
    </row>
    <row r="275" spans="9:11" customFormat="1" ht="13.2" x14ac:dyDescent="0.25">
      <c r="I275" s="592"/>
      <c r="J275" s="592"/>
      <c r="K275" s="592"/>
    </row>
    <row r="276" spans="9:11" customFormat="1" ht="13.2" x14ac:dyDescent="0.25">
      <c r="I276" s="592"/>
      <c r="J276" s="592"/>
      <c r="K276" s="592"/>
    </row>
    <row r="277" spans="9:11" customFormat="1" ht="13.2" x14ac:dyDescent="0.25">
      <c r="I277" s="592"/>
      <c r="J277" s="592"/>
      <c r="K277" s="592"/>
    </row>
    <row r="278" spans="9:11" customFormat="1" ht="13.2" x14ac:dyDescent="0.25">
      <c r="I278" s="592"/>
      <c r="J278" s="592"/>
      <c r="K278" s="592"/>
    </row>
    <row r="279" spans="9:11" customFormat="1" ht="13.2" x14ac:dyDescent="0.25">
      <c r="I279" s="592"/>
      <c r="J279" s="592"/>
      <c r="K279" s="592"/>
    </row>
    <row r="280" spans="9:11" customFormat="1" ht="13.2" x14ac:dyDescent="0.25">
      <c r="I280" s="592"/>
      <c r="J280" s="592"/>
      <c r="K280" s="592"/>
    </row>
    <row r="281" spans="9:11" customFormat="1" ht="13.2" x14ac:dyDescent="0.25">
      <c r="I281" s="592"/>
      <c r="J281" s="592"/>
      <c r="K281" s="592"/>
    </row>
    <row r="282" spans="9:11" customFormat="1" ht="13.2" x14ac:dyDescent="0.25">
      <c r="I282" s="592"/>
      <c r="J282" s="592"/>
      <c r="K282" s="592"/>
    </row>
    <row r="283" spans="9:11" customFormat="1" ht="13.2" x14ac:dyDescent="0.25">
      <c r="I283" s="592"/>
      <c r="J283" s="592"/>
      <c r="K283" s="592"/>
    </row>
    <row r="284" spans="9:11" customFormat="1" ht="13.2" x14ac:dyDescent="0.25">
      <c r="I284" s="592"/>
      <c r="J284" s="592"/>
      <c r="K284" s="592"/>
    </row>
    <row r="285" spans="9:11" customFormat="1" ht="13.2" x14ac:dyDescent="0.25">
      <c r="I285" s="592"/>
      <c r="J285" s="592"/>
      <c r="K285" s="592"/>
    </row>
    <row r="286" spans="9:11" customFormat="1" ht="13.2" x14ac:dyDescent="0.25">
      <c r="I286" s="592"/>
      <c r="J286" s="592"/>
      <c r="K286" s="592"/>
    </row>
    <row r="287" spans="9:11" customFormat="1" ht="13.2" x14ac:dyDescent="0.25">
      <c r="I287" s="592"/>
      <c r="J287" s="592"/>
      <c r="K287" s="592"/>
    </row>
    <row r="288" spans="9:11" customFormat="1" ht="13.2" x14ac:dyDescent="0.25">
      <c r="I288" s="592"/>
      <c r="J288" s="592"/>
      <c r="K288" s="592"/>
    </row>
    <row r="289" spans="9:11" customFormat="1" ht="13.2" x14ac:dyDescent="0.25">
      <c r="I289" s="592"/>
      <c r="J289" s="592"/>
      <c r="K289" s="592"/>
    </row>
    <row r="290" spans="9:11" customFormat="1" ht="13.2" x14ac:dyDescent="0.25">
      <c r="I290" s="592"/>
      <c r="J290" s="592"/>
      <c r="K290" s="592"/>
    </row>
    <row r="291" spans="9:11" customFormat="1" ht="13.2" x14ac:dyDescent="0.25">
      <c r="I291" s="592"/>
      <c r="J291" s="592"/>
      <c r="K291" s="592"/>
    </row>
    <row r="292" spans="9:11" customFormat="1" ht="13.2" x14ac:dyDescent="0.25">
      <c r="I292" s="592"/>
      <c r="J292" s="592"/>
      <c r="K292" s="592"/>
    </row>
    <row r="293" spans="9:11" customFormat="1" ht="13.2" x14ac:dyDescent="0.25">
      <c r="I293" s="592"/>
      <c r="J293" s="592"/>
      <c r="K293" s="592"/>
    </row>
    <row r="294" spans="9:11" customFormat="1" ht="13.2" x14ac:dyDescent="0.25">
      <c r="I294" s="592"/>
      <c r="J294" s="592"/>
      <c r="K294" s="592"/>
    </row>
    <row r="295" spans="9:11" customFormat="1" ht="13.2" x14ac:dyDescent="0.25">
      <c r="I295" s="592"/>
      <c r="J295" s="592"/>
      <c r="K295" s="592"/>
    </row>
    <row r="296" spans="9:11" customFormat="1" ht="13.2" x14ac:dyDescent="0.25">
      <c r="I296" s="592"/>
      <c r="J296" s="592"/>
      <c r="K296" s="592"/>
    </row>
    <row r="297" spans="9:11" customFormat="1" ht="13.2" x14ac:dyDescent="0.25">
      <c r="I297" s="592"/>
      <c r="J297" s="592"/>
      <c r="K297" s="592"/>
    </row>
    <row r="298" spans="9:11" customFormat="1" ht="13.2" x14ac:dyDescent="0.25">
      <c r="I298" s="592"/>
      <c r="J298" s="592"/>
      <c r="K298" s="592"/>
    </row>
    <row r="299" spans="9:11" customFormat="1" ht="13.2" x14ac:dyDescent="0.25">
      <c r="I299" s="592"/>
      <c r="J299" s="592"/>
      <c r="K299" s="592"/>
    </row>
    <row r="300" spans="9:11" customFormat="1" ht="13.2" x14ac:dyDescent="0.25">
      <c r="I300" s="592"/>
      <c r="J300" s="592"/>
      <c r="K300" s="592"/>
    </row>
    <row r="301" spans="9:11" customFormat="1" ht="13.2" x14ac:dyDescent="0.25">
      <c r="I301" s="592"/>
      <c r="J301" s="592"/>
      <c r="K301" s="592"/>
    </row>
    <row r="302" spans="9:11" customFormat="1" ht="13.2" x14ac:dyDescent="0.25">
      <c r="I302" s="592"/>
      <c r="J302" s="592"/>
      <c r="K302" s="592"/>
    </row>
    <row r="303" spans="9:11" customFormat="1" ht="13.2" x14ac:dyDescent="0.25">
      <c r="I303" s="592"/>
      <c r="J303" s="592"/>
      <c r="K303" s="592"/>
    </row>
    <row r="304" spans="9:11" customFormat="1" ht="13.2" x14ac:dyDescent="0.25">
      <c r="I304" s="592"/>
      <c r="J304" s="592"/>
      <c r="K304" s="592"/>
    </row>
    <row r="305" spans="9:11" customFormat="1" ht="13.2" x14ac:dyDescent="0.25">
      <c r="I305" s="592"/>
      <c r="J305" s="592"/>
      <c r="K305" s="592"/>
    </row>
    <row r="306" spans="9:11" customFormat="1" ht="13.2" x14ac:dyDescent="0.25">
      <c r="I306" s="592"/>
      <c r="J306" s="592"/>
      <c r="K306" s="592"/>
    </row>
  </sheetData>
  <sheetProtection algorithmName="SHA-512" hashValue="zf0wqdPVjhjfyM9n6qXX2SYAZZB5DMyVwYAdFvLi79L2ggb57gwGBdJMDwFkCnNyAo1Ohbh923QZESkFN1IOiA==" saltValue="J0uGwEWrdrYJCfFx3yWH3w==" spinCount="100000" sheet="1" objects="1" scenarios="1"/>
  <mergeCells count="187">
    <mergeCell ref="C141:W141"/>
    <mergeCell ref="H144:R144"/>
    <mergeCell ref="H145:R145"/>
    <mergeCell ref="O51:T51"/>
    <mergeCell ref="U51:W51"/>
    <mergeCell ref="K51:N51"/>
    <mergeCell ref="G53:N53"/>
    <mergeCell ref="I52:P52"/>
    <mergeCell ref="K79:N79"/>
    <mergeCell ref="O79:T79"/>
    <mergeCell ref="U79:W79"/>
    <mergeCell ref="I80:P80"/>
    <mergeCell ref="G81:N81"/>
    <mergeCell ref="K107:N107"/>
    <mergeCell ref="O107:T107"/>
    <mergeCell ref="U107:W107"/>
    <mergeCell ref="I108:P108"/>
    <mergeCell ref="G109:N109"/>
    <mergeCell ref="C132:W132"/>
    <mergeCell ref="C134:V134"/>
    <mergeCell ref="C136:W136"/>
    <mergeCell ref="C138:W138"/>
    <mergeCell ref="C139:O139"/>
    <mergeCell ref="T139:V139"/>
    <mergeCell ref="C140:P140"/>
    <mergeCell ref="Q140:T140"/>
    <mergeCell ref="U140:V140"/>
    <mergeCell ref="C126:W126"/>
    <mergeCell ref="C127:N127"/>
    <mergeCell ref="O127:W127"/>
    <mergeCell ref="C128:T128"/>
    <mergeCell ref="U128:W128"/>
    <mergeCell ref="C129:N129"/>
    <mergeCell ref="O129:T129"/>
    <mergeCell ref="U129:W129"/>
    <mergeCell ref="C130:W130"/>
    <mergeCell ref="C118:V118"/>
    <mergeCell ref="C119:J119"/>
    <mergeCell ref="L119:N119"/>
    <mergeCell ref="O119:R119"/>
    <mergeCell ref="S119:V119"/>
    <mergeCell ref="C122:V122"/>
    <mergeCell ref="C124:W124"/>
    <mergeCell ref="C125:N125"/>
    <mergeCell ref="O125:T125"/>
    <mergeCell ref="U125:W125"/>
    <mergeCell ref="D112:V112"/>
    <mergeCell ref="D114:V114"/>
    <mergeCell ref="C115:V115"/>
    <mergeCell ref="C116:G116"/>
    <mergeCell ref="H116:M116"/>
    <mergeCell ref="N116:Q116"/>
    <mergeCell ref="R116:V116"/>
    <mergeCell ref="C117:G117"/>
    <mergeCell ref="H117:V117"/>
    <mergeCell ref="S108:W108"/>
    <mergeCell ref="O109:Q109"/>
    <mergeCell ref="R109:W109"/>
    <mergeCell ref="C110:V110"/>
    <mergeCell ref="C111:W111"/>
    <mergeCell ref="C97:W97"/>
    <mergeCell ref="C98:V98"/>
    <mergeCell ref="C99:V99"/>
    <mergeCell ref="C100:V100"/>
    <mergeCell ref="C101:V101"/>
    <mergeCell ref="C102:V102"/>
    <mergeCell ref="C103:V103"/>
    <mergeCell ref="C104:V104"/>
    <mergeCell ref="C88:V88"/>
    <mergeCell ref="C89:V89"/>
    <mergeCell ref="C90:V90"/>
    <mergeCell ref="C91:W91"/>
    <mergeCell ref="C92:W92"/>
    <mergeCell ref="C93:V93"/>
    <mergeCell ref="C94:V94"/>
    <mergeCell ref="C95:V95"/>
    <mergeCell ref="C96:W96"/>
    <mergeCell ref="O81:Q81"/>
    <mergeCell ref="R81:W81"/>
    <mergeCell ref="C83:W83"/>
    <mergeCell ref="C84:W84"/>
    <mergeCell ref="C85:W85"/>
    <mergeCell ref="C86:W86"/>
    <mergeCell ref="C87:W87"/>
    <mergeCell ref="J74:V74"/>
    <mergeCell ref="C77:V77"/>
    <mergeCell ref="D78:W78"/>
    <mergeCell ref="S80:W80"/>
    <mergeCell ref="U63:V63"/>
    <mergeCell ref="C65:V65"/>
    <mergeCell ref="D67:W67"/>
    <mergeCell ref="C68:W68"/>
    <mergeCell ref="C70:V70"/>
    <mergeCell ref="O71:V71"/>
    <mergeCell ref="C72:H72"/>
    <mergeCell ref="J72:V72"/>
    <mergeCell ref="C73:H73"/>
    <mergeCell ref="J73:V73"/>
    <mergeCell ref="C56:V56"/>
    <mergeCell ref="C57:V57"/>
    <mergeCell ref="C58:V58"/>
    <mergeCell ref="C59:W59"/>
    <mergeCell ref="C61:G61"/>
    <mergeCell ref="H61:R61"/>
    <mergeCell ref="S61:W61"/>
    <mergeCell ref="D62:R62"/>
    <mergeCell ref="S62:W62"/>
    <mergeCell ref="S52:W52"/>
    <mergeCell ref="O53:Q53"/>
    <mergeCell ref="R53:W53"/>
    <mergeCell ref="C54:W54"/>
    <mergeCell ref="C55:W55"/>
    <mergeCell ref="C47:F47"/>
    <mergeCell ref="N47:O47"/>
    <mergeCell ref="P47:W47"/>
    <mergeCell ref="C48:F48"/>
    <mergeCell ref="N48:O48"/>
    <mergeCell ref="P48:W48"/>
    <mergeCell ref="C49:F49"/>
    <mergeCell ref="C41:F41"/>
    <mergeCell ref="C42:F42"/>
    <mergeCell ref="J42:L42"/>
    <mergeCell ref="M42:R42"/>
    <mergeCell ref="J43:L43"/>
    <mergeCell ref="M43:N43"/>
    <mergeCell ref="C45:V45"/>
    <mergeCell ref="C46:V46"/>
    <mergeCell ref="H41:I41"/>
    <mergeCell ref="H42:I42"/>
    <mergeCell ref="C43:I43"/>
    <mergeCell ref="C32:J32"/>
    <mergeCell ref="M32:P32"/>
    <mergeCell ref="C34:V34"/>
    <mergeCell ref="C35:V35"/>
    <mergeCell ref="C36:F36"/>
    <mergeCell ref="C37:F37"/>
    <mergeCell ref="C38:F38"/>
    <mergeCell ref="C39:F39"/>
    <mergeCell ref="C40:F40"/>
    <mergeCell ref="H36:I36"/>
    <mergeCell ref="H37:I37"/>
    <mergeCell ref="H38:I38"/>
    <mergeCell ref="H39:I39"/>
    <mergeCell ref="H40:I40"/>
    <mergeCell ref="C27:J27"/>
    <mergeCell ref="M27:P27"/>
    <mergeCell ref="C28:J28"/>
    <mergeCell ref="M28:P28"/>
    <mergeCell ref="C29:J29"/>
    <mergeCell ref="M29:P29"/>
    <mergeCell ref="C30:J30"/>
    <mergeCell ref="M30:P30"/>
    <mergeCell ref="C31:J31"/>
    <mergeCell ref="M31:P31"/>
    <mergeCell ref="O20:V20"/>
    <mergeCell ref="C21:M21"/>
    <mergeCell ref="O21:V21"/>
    <mergeCell ref="C23:M23"/>
    <mergeCell ref="O23:V23"/>
    <mergeCell ref="C24:M24"/>
    <mergeCell ref="O24:V24"/>
    <mergeCell ref="O25:V25"/>
    <mergeCell ref="K25:N25"/>
    <mergeCell ref="B146:W146"/>
    <mergeCell ref="C26:J26"/>
    <mergeCell ref="R26:V30"/>
    <mergeCell ref="J1:P1"/>
    <mergeCell ref="R10:V10"/>
    <mergeCell ref="C11:W11"/>
    <mergeCell ref="C13:G13"/>
    <mergeCell ref="H13:L13"/>
    <mergeCell ref="N13:R13"/>
    <mergeCell ref="S13:V13"/>
    <mergeCell ref="C14:G14"/>
    <mergeCell ref="H14:L14"/>
    <mergeCell ref="O14:V14"/>
    <mergeCell ref="Q3:W3"/>
    <mergeCell ref="C15:G15"/>
    <mergeCell ref="H15:L15"/>
    <mergeCell ref="O15:V15"/>
    <mergeCell ref="C17:M17"/>
    <mergeCell ref="O17:V17"/>
    <mergeCell ref="C18:M18"/>
    <mergeCell ref="O18:V18"/>
    <mergeCell ref="C19:M19"/>
    <mergeCell ref="O19:V19"/>
    <mergeCell ref="C20:M20"/>
  </mergeCells>
  <pageMargins left="0.7" right="0.7" top="0.75" bottom="0.5" header="0.3" footer="0.3"/>
  <pageSetup orientation="portrait" r:id="rId1"/>
  <headerFooter differentFirst="1">
    <oddFooter>&amp;LIncome Withholding for Support (IWO)&amp;RPage &amp;P of &amp;N</oddFooter>
    <firstFooter>&amp;LIncome Withholding for Support (IWO)&amp;CDocument Tracking ID __________&amp;RPage &amp;P of &amp;N</firstFooter>
  </headerFooter>
  <rowBreaks count="4" manualBreakCount="4">
    <brk id="50" max="16383" man="1"/>
    <brk id="78" max="16383" man="1"/>
    <brk id="106" max="16383" man="1"/>
    <brk id="13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G588"/>
  <sheetViews>
    <sheetView workbookViewId="0">
      <pane ySplit="2" topLeftCell="A3" activePane="bottomLeft" state="frozen"/>
      <selection pane="bottomLeft" sqref="A1:G1"/>
    </sheetView>
  </sheetViews>
  <sheetFormatPr defaultColWidth="9.33203125" defaultRowHeight="13.2" x14ac:dyDescent="0.25"/>
  <cols>
    <col min="1" max="7" width="11.6640625" style="299" customWidth="1"/>
    <col min="8" max="12" width="9.33203125" style="299"/>
    <col min="13" max="14" width="9.33203125" style="299" customWidth="1"/>
    <col min="15" max="16384" width="9.33203125" style="299"/>
  </cols>
  <sheetData>
    <row r="1" spans="1:7" ht="18.600000000000001" thickBot="1" x14ac:dyDescent="0.4">
      <c r="A1" s="1741" t="s">
        <v>447</v>
      </c>
      <c r="B1" s="1742"/>
      <c r="C1" s="1742"/>
      <c r="D1" s="1742"/>
      <c r="E1" s="1742"/>
      <c r="F1" s="1742"/>
      <c r="G1" s="1743"/>
    </row>
    <row r="2" spans="1:7" ht="45.6" thickBot="1" x14ac:dyDescent="0.3">
      <c r="A2" s="295" t="s">
        <v>67</v>
      </c>
      <c r="B2" s="296" t="s">
        <v>448</v>
      </c>
      <c r="C2" s="297" t="s">
        <v>449</v>
      </c>
      <c r="D2" s="297" t="s">
        <v>450</v>
      </c>
      <c r="E2" s="297" t="s">
        <v>451</v>
      </c>
      <c r="F2" s="297" t="s">
        <v>452</v>
      </c>
      <c r="G2" s="298" t="s">
        <v>453</v>
      </c>
    </row>
    <row r="3" spans="1:7" x14ac:dyDescent="0.25">
      <c r="A3" s="388">
        <v>750</v>
      </c>
      <c r="B3" s="389">
        <v>159</v>
      </c>
      <c r="C3" s="389">
        <v>243</v>
      </c>
      <c r="D3" s="389">
        <v>293</v>
      </c>
      <c r="E3" s="389">
        <v>328</v>
      </c>
      <c r="F3" s="388">
        <v>360</v>
      </c>
      <c r="G3" s="388">
        <v>392</v>
      </c>
    </row>
    <row r="4" spans="1:7" x14ac:dyDescent="0.25">
      <c r="A4" s="388">
        <v>800</v>
      </c>
      <c r="B4" s="389">
        <v>170</v>
      </c>
      <c r="C4" s="389">
        <v>258</v>
      </c>
      <c r="D4" s="389">
        <v>312</v>
      </c>
      <c r="E4" s="389">
        <v>349</v>
      </c>
      <c r="F4" s="388">
        <v>384</v>
      </c>
      <c r="G4" s="388">
        <v>417</v>
      </c>
    </row>
    <row r="5" spans="1:7" x14ac:dyDescent="0.25">
      <c r="A5" s="388">
        <v>850</v>
      </c>
      <c r="B5" s="389">
        <v>180</v>
      </c>
      <c r="C5" s="389">
        <v>274</v>
      </c>
      <c r="D5" s="389">
        <v>331</v>
      </c>
      <c r="E5" s="389">
        <v>370</v>
      </c>
      <c r="F5" s="388">
        <v>407</v>
      </c>
      <c r="G5" s="388">
        <v>443</v>
      </c>
    </row>
    <row r="6" spans="1:7" x14ac:dyDescent="0.25">
      <c r="A6" s="388">
        <v>900</v>
      </c>
      <c r="B6" s="389">
        <v>190</v>
      </c>
      <c r="C6" s="389">
        <v>290</v>
      </c>
      <c r="D6" s="389">
        <v>351</v>
      </c>
      <c r="E6" s="389">
        <v>392</v>
      </c>
      <c r="F6" s="388">
        <v>431</v>
      </c>
      <c r="G6" s="388">
        <v>468</v>
      </c>
    </row>
    <row r="7" spans="1:7" x14ac:dyDescent="0.25">
      <c r="A7" s="388">
        <v>950</v>
      </c>
      <c r="B7" s="389">
        <v>201</v>
      </c>
      <c r="C7" s="389">
        <v>306</v>
      </c>
      <c r="D7" s="389">
        <v>370</v>
      </c>
      <c r="E7" s="389">
        <v>413</v>
      </c>
      <c r="F7" s="388">
        <v>454</v>
      </c>
      <c r="G7" s="388">
        <v>494</v>
      </c>
    </row>
    <row r="8" spans="1:7" x14ac:dyDescent="0.25">
      <c r="A8" s="388">
        <v>1000</v>
      </c>
      <c r="B8" s="389">
        <v>211</v>
      </c>
      <c r="C8" s="389">
        <v>321</v>
      </c>
      <c r="D8" s="389">
        <v>389</v>
      </c>
      <c r="E8" s="389">
        <v>434</v>
      </c>
      <c r="F8" s="388">
        <v>477</v>
      </c>
      <c r="G8" s="388">
        <v>519</v>
      </c>
    </row>
    <row r="9" spans="1:7" x14ac:dyDescent="0.25">
      <c r="A9" s="388">
        <v>1050</v>
      </c>
      <c r="B9" s="389">
        <v>221</v>
      </c>
      <c r="C9" s="389">
        <v>337</v>
      </c>
      <c r="D9" s="389">
        <v>407</v>
      </c>
      <c r="E9" s="389">
        <v>454</v>
      </c>
      <c r="F9" s="388">
        <v>500</v>
      </c>
      <c r="G9" s="388">
        <v>543</v>
      </c>
    </row>
    <row r="10" spans="1:7" x14ac:dyDescent="0.25">
      <c r="A10" s="388">
        <v>1100</v>
      </c>
      <c r="B10" s="389">
        <v>230</v>
      </c>
      <c r="C10" s="389">
        <v>351</v>
      </c>
      <c r="D10" s="389">
        <v>424</v>
      </c>
      <c r="E10" s="389">
        <v>473</v>
      </c>
      <c r="F10" s="388">
        <v>521</v>
      </c>
      <c r="G10" s="388">
        <v>566</v>
      </c>
    </row>
    <row r="11" spans="1:7" x14ac:dyDescent="0.25">
      <c r="A11" s="388">
        <v>1150</v>
      </c>
      <c r="B11" s="389">
        <v>239</v>
      </c>
      <c r="C11" s="389">
        <v>365</v>
      </c>
      <c r="D11" s="389">
        <v>441</v>
      </c>
      <c r="E11" s="389">
        <v>492</v>
      </c>
      <c r="F11" s="388">
        <v>542</v>
      </c>
      <c r="G11" s="388">
        <v>589</v>
      </c>
    </row>
    <row r="12" spans="1:7" x14ac:dyDescent="0.25">
      <c r="A12" s="388">
        <v>1200</v>
      </c>
      <c r="B12" s="389">
        <v>249</v>
      </c>
      <c r="C12" s="389">
        <v>379</v>
      </c>
      <c r="D12" s="389">
        <v>458</v>
      </c>
      <c r="E12" s="389">
        <v>511</v>
      </c>
      <c r="F12" s="388">
        <v>562</v>
      </c>
      <c r="G12" s="388">
        <v>611</v>
      </c>
    </row>
    <row r="13" spans="1:7" x14ac:dyDescent="0.25">
      <c r="A13" s="388">
        <v>1250</v>
      </c>
      <c r="B13" s="389">
        <v>258</v>
      </c>
      <c r="C13" s="389">
        <v>393</v>
      </c>
      <c r="D13" s="389">
        <v>475</v>
      </c>
      <c r="E13" s="389">
        <v>530</v>
      </c>
      <c r="F13" s="388">
        <v>583</v>
      </c>
      <c r="G13" s="388">
        <v>634</v>
      </c>
    </row>
    <row r="14" spans="1:7" x14ac:dyDescent="0.25">
      <c r="A14" s="388">
        <v>1300</v>
      </c>
      <c r="B14" s="389">
        <v>267</v>
      </c>
      <c r="C14" s="389">
        <v>407</v>
      </c>
      <c r="D14" s="389">
        <v>491</v>
      </c>
      <c r="E14" s="389">
        <v>549</v>
      </c>
      <c r="F14" s="388">
        <v>604</v>
      </c>
      <c r="G14" s="388">
        <v>656</v>
      </c>
    </row>
    <row r="15" spans="1:7" x14ac:dyDescent="0.25">
      <c r="A15" s="388">
        <v>1350</v>
      </c>
      <c r="B15" s="389">
        <v>276</v>
      </c>
      <c r="C15" s="389">
        <v>421</v>
      </c>
      <c r="D15" s="389">
        <v>508</v>
      </c>
      <c r="E15" s="389">
        <v>568</v>
      </c>
      <c r="F15" s="388">
        <v>625</v>
      </c>
      <c r="G15" s="388">
        <v>679</v>
      </c>
    </row>
    <row r="16" spans="1:7" x14ac:dyDescent="0.25">
      <c r="A16" s="388">
        <v>1400</v>
      </c>
      <c r="B16" s="389">
        <v>285</v>
      </c>
      <c r="C16" s="389">
        <v>435</v>
      </c>
      <c r="D16" s="389">
        <v>525</v>
      </c>
      <c r="E16" s="389">
        <v>587</v>
      </c>
      <c r="F16" s="388">
        <v>645</v>
      </c>
      <c r="G16" s="388">
        <v>702</v>
      </c>
    </row>
    <row r="17" spans="1:7" x14ac:dyDescent="0.25">
      <c r="A17" s="388">
        <v>1450</v>
      </c>
      <c r="B17" s="389">
        <v>295</v>
      </c>
      <c r="C17" s="389">
        <v>449</v>
      </c>
      <c r="D17" s="389">
        <v>542</v>
      </c>
      <c r="E17" s="389">
        <v>606</v>
      </c>
      <c r="F17" s="388">
        <v>666</v>
      </c>
      <c r="G17" s="388">
        <v>724</v>
      </c>
    </row>
    <row r="18" spans="1:7" x14ac:dyDescent="0.25">
      <c r="A18" s="388">
        <v>1500</v>
      </c>
      <c r="B18" s="389">
        <v>304</v>
      </c>
      <c r="C18" s="389">
        <v>463</v>
      </c>
      <c r="D18" s="389">
        <v>559</v>
      </c>
      <c r="E18" s="389">
        <v>625</v>
      </c>
      <c r="F18" s="388">
        <v>687</v>
      </c>
      <c r="G18" s="388">
        <v>747</v>
      </c>
    </row>
    <row r="19" spans="1:7" x14ac:dyDescent="0.25">
      <c r="A19" s="388">
        <v>1550</v>
      </c>
      <c r="B19" s="389">
        <v>313</v>
      </c>
      <c r="C19" s="389">
        <v>477</v>
      </c>
      <c r="D19" s="389">
        <v>576</v>
      </c>
      <c r="E19" s="389">
        <v>643</v>
      </c>
      <c r="F19" s="388">
        <v>708</v>
      </c>
      <c r="G19" s="388">
        <v>769</v>
      </c>
    </row>
    <row r="20" spans="1:7" x14ac:dyDescent="0.25">
      <c r="A20" s="388">
        <v>1600</v>
      </c>
      <c r="B20" s="389">
        <v>322</v>
      </c>
      <c r="C20" s="389">
        <v>491</v>
      </c>
      <c r="D20" s="389">
        <v>593</v>
      </c>
      <c r="E20" s="389">
        <v>662</v>
      </c>
      <c r="F20" s="388">
        <v>729</v>
      </c>
      <c r="G20" s="388">
        <v>792</v>
      </c>
    </row>
    <row r="21" spans="1:7" x14ac:dyDescent="0.25">
      <c r="A21" s="388">
        <v>1650</v>
      </c>
      <c r="B21" s="389">
        <v>331</v>
      </c>
      <c r="C21" s="389">
        <v>504</v>
      </c>
      <c r="D21" s="389">
        <v>610</v>
      </c>
      <c r="E21" s="389">
        <v>681</v>
      </c>
      <c r="F21" s="388">
        <v>749</v>
      </c>
      <c r="G21" s="388">
        <v>815</v>
      </c>
    </row>
    <row r="22" spans="1:7" x14ac:dyDescent="0.25">
      <c r="A22" s="388">
        <v>1700</v>
      </c>
      <c r="B22" s="389">
        <v>340</v>
      </c>
      <c r="C22" s="389">
        <v>518</v>
      </c>
      <c r="D22" s="389">
        <v>627</v>
      </c>
      <c r="E22" s="389">
        <v>700</v>
      </c>
      <c r="F22" s="388">
        <v>770</v>
      </c>
      <c r="G22" s="388">
        <v>837</v>
      </c>
    </row>
    <row r="23" spans="1:7" x14ac:dyDescent="0.25">
      <c r="A23" s="388">
        <v>1750</v>
      </c>
      <c r="B23" s="389">
        <v>350</v>
      </c>
      <c r="C23" s="389">
        <v>532</v>
      </c>
      <c r="D23" s="389">
        <v>644</v>
      </c>
      <c r="E23" s="389">
        <v>719</v>
      </c>
      <c r="F23" s="388">
        <v>791</v>
      </c>
      <c r="G23" s="388">
        <v>860</v>
      </c>
    </row>
    <row r="24" spans="1:7" x14ac:dyDescent="0.25">
      <c r="A24" s="388">
        <v>1800</v>
      </c>
      <c r="B24" s="389">
        <v>359</v>
      </c>
      <c r="C24" s="389">
        <v>546</v>
      </c>
      <c r="D24" s="389">
        <v>661</v>
      </c>
      <c r="E24" s="389">
        <v>738</v>
      </c>
      <c r="F24" s="388">
        <v>812</v>
      </c>
      <c r="G24" s="388">
        <v>882</v>
      </c>
    </row>
    <row r="25" spans="1:7" x14ac:dyDescent="0.25">
      <c r="A25" s="388">
        <v>1850</v>
      </c>
      <c r="B25" s="389">
        <v>368</v>
      </c>
      <c r="C25" s="389">
        <v>560</v>
      </c>
      <c r="D25" s="389">
        <v>678</v>
      </c>
      <c r="E25" s="389">
        <v>757</v>
      </c>
      <c r="F25" s="388">
        <v>832</v>
      </c>
      <c r="G25" s="388">
        <v>905</v>
      </c>
    </row>
    <row r="26" spans="1:7" x14ac:dyDescent="0.25">
      <c r="A26" s="388">
        <v>1900</v>
      </c>
      <c r="B26" s="389">
        <v>377</v>
      </c>
      <c r="C26" s="389">
        <v>574</v>
      </c>
      <c r="D26" s="389">
        <v>694</v>
      </c>
      <c r="E26" s="389">
        <v>775</v>
      </c>
      <c r="F26" s="388">
        <v>853</v>
      </c>
      <c r="G26" s="388">
        <v>927</v>
      </c>
    </row>
    <row r="27" spans="1:7" x14ac:dyDescent="0.25">
      <c r="A27" s="388">
        <v>1950</v>
      </c>
      <c r="B27" s="389">
        <v>386</v>
      </c>
      <c r="C27" s="389">
        <v>588</v>
      </c>
      <c r="D27" s="389">
        <v>711</v>
      </c>
      <c r="E27" s="389">
        <v>794</v>
      </c>
      <c r="F27" s="388">
        <v>873</v>
      </c>
      <c r="G27" s="388">
        <v>949</v>
      </c>
    </row>
    <row r="28" spans="1:7" x14ac:dyDescent="0.25">
      <c r="A28" s="388">
        <v>2000</v>
      </c>
      <c r="B28" s="389">
        <v>395</v>
      </c>
      <c r="C28" s="389">
        <v>601</v>
      </c>
      <c r="D28" s="389">
        <v>727</v>
      </c>
      <c r="E28" s="389">
        <v>812</v>
      </c>
      <c r="F28" s="388">
        <v>893</v>
      </c>
      <c r="G28" s="388">
        <v>971</v>
      </c>
    </row>
    <row r="29" spans="1:7" x14ac:dyDescent="0.25">
      <c r="A29" s="388">
        <v>2050</v>
      </c>
      <c r="B29" s="389">
        <v>404</v>
      </c>
      <c r="C29" s="389">
        <v>615</v>
      </c>
      <c r="D29" s="389">
        <v>744</v>
      </c>
      <c r="E29" s="389">
        <v>831</v>
      </c>
      <c r="F29" s="388">
        <v>914</v>
      </c>
      <c r="G29" s="388">
        <v>993</v>
      </c>
    </row>
    <row r="30" spans="1:7" x14ac:dyDescent="0.25">
      <c r="A30" s="388">
        <v>2100</v>
      </c>
      <c r="B30" s="389">
        <v>413</v>
      </c>
      <c r="C30" s="389">
        <v>629</v>
      </c>
      <c r="D30" s="389">
        <v>760</v>
      </c>
      <c r="E30" s="389">
        <v>849</v>
      </c>
      <c r="F30" s="388">
        <v>934</v>
      </c>
      <c r="G30" s="388">
        <v>1015</v>
      </c>
    </row>
    <row r="31" spans="1:7" x14ac:dyDescent="0.25">
      <c r="A31" s="388">
        <v>2150</v>
      </c>
      <c r="B31" s="389">
        <v>422</v>
      </c>
      <c r="C31" s="389">
        <v>642</v>
      </c>
      <c r="D31" s="389">
        <v>777</v>
      </c>
      <c r="E31" s="389">
        <v>867</v>
      </c>
      <c r="F31" s="388">
        <v>954</v>
      </c>
      <c r="G31" s="388">
        <v>1037</v>
      </c>
    </row>
    <row r="32" spans="1:7" x14ac:dyDescent="0.25">
      <c r="A32" s="388">
        <v>2200</v>
      </c>
      <c r="B32" s="389">
        <v>431</v>
      </c>
      <c r="C32" s="389">
        <v>656</v>
      </c>
      <c r="D32" s="389">
        <v>793</v>
      </c>
      <c r="E32" s="389">
        <v>886</v>
      </c>
      <c r="F32" s="388">
        <v>974</v>
      </c>
      <c r="G32" s="388">
        <v>1059</v>
      </c>
    </row>
    <row r="33" spans="1:7" x14ac:dyDescent="0.25">
      <c r="A33" s="388">
        <v>2250</v>
      </c>
      <c r="B33" s="389">
        <v>440</v>
      </c>
      <c r="C33" s="389">
        <v>670</v>
      </c>
      <c r="D33" s="389">
        <v>810</v>
      </c>
      <c r="E33" s="389">
        <v>904</v>
      </c>
      <c r="F33" s="388">
        <v>995</v>
      </c>
      <c r="G33" s="388">
        <v>1081</v>
      </c>
    </row>
    <row r="34" spans="1:7" x14ac:dyDescent="0.25">
      <c r="A34" s="388">
        <v>2300</v>
      </c>
      <c r="B34" s="389">
        <v>449</v>
      </c>
      <c r="C34" s="389">
        <v>683</v>
      </c>
      <c r="D34" s="389">
        <v>826</v>
      </c>
      <c r="E34" s="389">
        <v>923</v>
      </c>
      <c r="F34" s="388">
        <v>1015</v>
      </c>
      <c r="G34" s="388">
        <v>1103</v>
      </c>
    </row>
    <row r="35" spans="1:7" x14ac:dyDescent="0.25">
      <c r="A35" s="388">
        <v>2350</v>
      </c>
      <c r="B35" s="389">
        <v>458</v>
      </c>
      <c r="C35" s="389">
        <v>697</v>
      </c>
      <c r="D35" s="389">
        <v>842</v>
      </c>
      <c r="E35" s="389">
        <v>941</v>
      </c>
      <c r="F35" s="388">
        <v>1035</v>
      </c>
      <c r="G35" s="388">
        <v>1125</v>
      </c>
    </row>
    <row r="36" spans="1:7" x14ac:dyDescent="0.25">
      <c r="A36" s="388">
        <v>2400</v>
      </c>
      <c r="B36" s="389">
        <v>467</v>
      </c>
      <c r="C36" s="389">
        <v>711</v>
      </c>
      <c r="D36" s="389">
        <v>859</v>
      </c>
      <c r="E36" s="389">
        <v>959</v>
      </c>
      <c r="F36" s="388">
        <v>1055</v>
      </c>
      <c r="G36" s="388">
        <v>1147</v>
      </c>
    </row>
    <row r="37" spans="1:7" x14ac:dyDescent="0.25">
      <c r="A37" s="388">
        <v>2450</v>
      </c>
      <c r="B37" s="389">
        <v>476</v>
      </c>
      <c r="C37" s="389">
        <v>724</v>
      </c>
      <c r="D37" s="389">
        <v>875</v>
      </c>
      <c r="E37" s="389">
        <v>978</v>
      </c>
      <c r="F37" s="388">
        <v>1076</v>
      </c>
      <c r="G37" s="388">
        <v>1169</v>
      </c>
    </row>
    <row r="38" spans="1:7" x14ac:dyDescent="0.25">
      <c r="A38" s="388">
        <v>2500</v>
      </c>
      <c r="B38" s="389">
        <v>485</v>
      </c>
      <c r="C38" s="389">
        <v>738</v>
      </c>
      <c r="D38" s="389">
        <v>892</v>
      </c>
      <c r="E38" s="389">
        <v>996</v>
      </c>
      <c r="F38" s="388">
        <v>1096</v>
      </c>
      <c r="G38" s="388">
        <v>1191</v>
      </c>
    </row>
    <row r="39" spans="1:7" x14ac:dyDescent="0.25">
      <c r="A39" s="388">
        <v>2550</v>
      </c>
      <c r="B39" s="389">
        <v>494</v>
      </c>
      <c r="C39" s="389">
        <v>751</v>
      </c>
      <c r="D39" s="389">
        <v>908</v>
      </c>
      <c r="E39" s="389">
        <v>1015</v>
      </c>
      <c r="F39" s="388">
        <v>1116</v>
      </c>
      <c r="G39" s="388">
        <v>1213</v>
      </c>
    </row>
    <row r="40" spans="1:7" x14ac:dyDescent="0.25">
      <c r="A40" s="388">
        <v>2600</v>
      </c>
      <c r="B40" s="389">
        <v>502</v>
      </c>
      <c r="C40" s="389">
        <v>765</v>
      </c>
      <c r="D40" s="389">
        <v>925</v>
      </c>
      <c r="E40" s="389">
        <v>1033</v>
      </c>
      <c r="F40" s="388">
        <v>1136</v>
      </c>
      <c r="G40" s="388">
        <v>1235</v>
      </c>
    </row>
    <row r="41" spans="1:7" x14ac:dyDescent="0.25">
      <c r="A41" s="388">
        <v>2650</v>
      </c>
      <c r="B41" s="389">
        <v>511</v>
      </c>
      <c r="C41" s="389">
        <v>779</v>
      </c>
      <c r="D41" s="389">
        <v>941</v>
      </c>
      <c r="E41" s="389">
        <v>1052</v>
      </c>
      <c r="F41" s="388">
        <v>1157</v>
      </c>
      <c r="G41" s="388">
        <v>1257</v>
      </c>
    </row>
    <row r="42" spans="1:7" x14ac:dyDescent="0.25">
      <c r="A42" s="388">
        <v>2700</v>
      </c>
      <c r="B42" s="389">
        <v>520</v>
      </c>
      <c r="C42" s="389">
        <v>792</v>
      </c>
      <c r="D42" s="389">
        <v>958</v>
      </c>
      <c r="E42" s="389">
        <v>1070</v>
      </c>
      <c r="F42" s="388">
        <v>1177</v>
      </c>
      <c r="G42" s="388">
        <v>1279</v>
      </c>
    </row>
    <row r="43" spans="1:7" x14ac:dyDescent="0.25">
      <c r="A43" s="388">
        <v>2750</v>
      </c>
      <c r="B43" s="389">
        <v>529</v>
      </c>
      <c r="C43" s="389">
        <v>806</v>
      </c>
      <c r="D43" s="389">
        <v>974</v>
      </c>
      <c r="E43" s="389">
        <v>1088</v>
      </c>
      <c r="F43" s="388">
        <v>1197</v>
      </c>
      <c r="G43" s="388">
        <v>1301</v>
      </c>
    </row>
    <row r="44" spans="1:7" x14ac:dyDescent="0.25">
      <c r="A44" s="388">
        <v>2800</v>
      </c>
      <c r="B44" s="389">
        <v>538</v>
      </c>
      <c r="C44" s="389">
        <v>820</v>
      </c>
      <c r="D44" s="389">
        <v>991</v>
      </c>
      <c r="E44" s="389">
        <v>1107</v>
      </c>
      <c r="F44" s="388">
        <v>1218</v>
      </c>
      <c r="G44" s="388">
        <v>1323</v>
      </c>
    </row>
    <row r="45" spans="1:7" x14ac:dyDescent="0.25">
      <c r="A45" s="388">
        <v>2850</v>
      </c>
      <c r="B45" s="389">
        <v>547</v>
      </c>
      <c r="C45" s="389">
        <v>833</v>
      </c>
      <c r="D45" s="389">
        <v>1007</v>
      </c>
      <c r="E45" s="389">
        <v>1125</v>
      </c>
      <c r="F45" s="388">
        <v>1238</v>
      </c>
      <c r="G45" s="388">
        <v>1345</v>
      </c>
    </row>
    <row r="46" spans="1:7" x14ac:dyDescent="0.25">
      <c r="A46" s="388">
        <v>2900</v>
      </c>
      <c r="B46" s="389">
        <v>556</v>
      </c>
      <c r="C46" s="389">
        <v>847</v>
      </c>
      <c r="D46" s="389">
        <v>1024</v>
      </c>
      <c r="E46" s="389">
        <v>1144</v>
      </c>
      <c r="F46" s="388">
        <v>1258</v>
      </c>
      <c r="G46" s="388">
        <v>1367</v>
      </c>
    </row>
    <row r="47" spans="1:7" x14ac:dyDescent="0.25">
      <c r="A47" s="388">
        <v>2950</v>
      </c>
      <c r="B47" s="389">
        <v>565</v>
      </c>
      <c r="C47" s="389">
        <v>861</v>
      </c>
      <c r="D47" s="389">
        <v>1040</v>
      </c>
      <c r="E47" s="389">
        <v>1162</v>
      </c>
      <c r="F47" s="388">
        <v>1278</v>
      </c>
      <c r="G47" s="388">
        <v>1389</v>
      </c>
    </row>
    <row r="48" spans="1:7" x14ac:dyDescent="0.25">
      <c r="A48" s="388">
        <v>3000</v>
      </c>
      <c r="B48" s="389">
        <v>574</v>
      </c>
      <c r="C48" s="389">
        <v>874</v>
      </c>
      <c r="D48" s="389">
        <v>1057</v>
      </c>
      <c r="E48" s="389">
        <v>1180</v>
      </c>
      <c r="F48" s="388">
        <v>1298</v>
      </c>
      <c r="G48" s="388">
        <v>1411</v>
      </c>
    </row>
    <row r="49" spans="1:7" x14ac:dyDescent="0.25">
      <c r="A49" s="388">
        <v>3050</v>
      </c>
      <c r="B49" s="389">
        <v>583</v>
      </c>
      <c r="C49" s="389">
        <v>888</v>
      </c>
      <c r="D49" s="389">
        <v>1073</v>
      </c>
      <c r="E49" s="389">
        <v>1198</v>
      </c>
      <c r="F49" s="388">
        <v>1318</v>
      </c>
      <c r="G49" s="388">
        <v>1433</v>
      </c>
    </row>
    <row r="50" spans="1:7" x14ac:dyDescent="0.25">
      <c r="A50" s="388">
        <v>3100</v>
      </c>
      <c r="B50" s="389">
        <v>592</v>
      </c>
      <c r="C50" s="389">
        <v>901</v>
      </c>
      <c r="D50" s="389">
        <v>1089</v>
      </c>
      <c r="E50" s="389">
        <v>1217</v>
      </c>
      <c r="F50" s="388">
        <v>1338</v>
      </c>
      <c r="G50" s="388">
        <v>1455</v>
      </c>
    </row>
    <row r="51" spans="1:7" x14ac:dyDescent="0.25">
      <c r="A51" s="388">
        <v>3150</v>
      </c>
      <c r="B51" s="389">
        <v>601</v>
      </c>
      <c r="C51" s="389">
        <v>915</v>
      </c>
      <c r="D51" s="389">
        <v>1106</v>
      </c>
      <c r="E51" s="389">
        <v>1235</v>
      </c>
      <c r="F51" s="388">
        <v>1358</v>
      </c>
      <c r="G51" s="388">
        <v>1477</v>
      </c>
    </row>
    <row r="52" spans="1:7" x14ac:dyDescent="0.25">
      <c r="A52" s="388">
        <v>3200</v>
      </c>
      <c r="B52" s="389">
        <v>609</v>
      </c>
      <c r="C52" s="389">
        <v>928</v>
      </c>
      <c r="D52" s="389">
        <v>1122</v>
      </c>
      <c r="E52" s="389">
        <v>1253</v>
      </c>
      <c r="F52" s="388">
        <v>1379</v>
      </c>
      <c r="G52" s="388">
        <v>1498</v>
      </c>
    </row>
    <row r="53" spans="1:7" x14ac:dyDescent="0.25">
      <c r="A53" s="388">
        <v>3250</v>
      </c>
      <c r="B53" s="389">
        <v>618</v>
      </c>
      <c r="C53" s="389">
        <v>942</v>
      </c>
      <c r="D53" s="389">
        <v>1138</v>
      </c>
      <c r="E53" s="389">
        <v>1271</v>
      </c>
      <c r="F53" s="388">
        <v>1399</v>
      </c>
      <c r="G53" s="388">
        <v>1520</v>
      </c>
    </row>
    <row r="54" spans="1:7" x14ac:dyDescent="0.25">
      <c r="A54" s="388">
        <v>3300</v>
      </c>
      <c r="B54" s="389">
        <v>627</v>
      </c>
      <c r="C54" s="389">
        <v>955</v>
      </c>
      <c r="D54" s="389">
        <v>1155</v>
      </c>
      <c r="E54" s="389">
        <v>1290</v>
      </c>
      <c r="F54" s="388">
        <v>1419</v>
      </c>
      <c r="G54" s="388">
        <v>1542</v>
      </c>
    </row>
    <row r="55" spans="1:7" x14ac:dyDescent="0.25">
      <c r="A55" s="388">
        <v>3350</v>
      </c>
      <c r="B55" s="389">
        <v>636</v>
      </c>
      <c r="C55" s="389">
        <v>968</v>
      </c>
      <c r="D55" s="389">
        <v>1170</v>
      </c>
      <c r="E55" s="389">
        <v>1307</v>
      </c>
      <c r="F55" s="388">
        <v>1438</v>
      </c>
      <c r="G55" s="388">
        <v>1563</v>
      </c>
    </row>
    <row r="56" spans="1:7" x14ac:dyDescent="0.25">
      <c r="A56" s="388">
        <v>3400</v>
      </c>
      <c r="B56" s="389">
        <v>645</v>
      </c>
      <c r="C56" s="389">
        <v>980</v>
      </c>
      <c r="D56" s="389">
        <v>1184</v>
      </c>
      <c r="E56" s="389">
        <v>1322</v>
      </c>
      <c r="F56" s="388">
        <v>1454</v>
      </c>
      <c r="G56" s="388">
        <v>1581</v>
      </c>
    </row>
    <row r="57" spans="1:7" x14ac:dyDescent="0.25">
      <c r="A57" s="388">
        <v>3450</v>
      </c>
      <c r="B57" s="389">
        <v>654</v>
      </c>
      <c r="C57" s="389">
        <v>992</v>
      </c>
      <c r="D57" s="389">
        <v>1197</v>
      </c>
      <c r="E57" s="389">
        <v>1337</v>
      </c>
      <c r="F57" s="388">
        <v>1471</v>
      </c>
      <c r="G57" s="388">
        <v>1599</v>
      </c>
    </row>
    <row r="58" spans="1:7" x14ac:dyDescent="0.25">
      <c r="A58" s="388">
        <v>3500</v>
      </c>
      <c r="B58" s="389">
        <v>663</v>
      </c>
      <c r="C58" s="389">
        <v>1003</v>
      </c>
      <c r="D58" s="389">
        <v>1210</v>
      </c>
      <c r="E58" s="389">
        <v>1352</v>
      </c>
      <c r="F58" s="388">
        <v>1487</v>
      </c>
      <c r="G58" s="388">
        <v>1617</v>
      </c>
    </row>
    <row r="59" spans="1:7" x14ac:dyDescent="0.25">
      <c r="A59" s="388">
        <v>3550</v>
      </c>
      <c r="B59" s="389">
        <v>672</v>
      </c>
      <c r="C59" s="389">
        <v>1015</v>
      </c>
      <c r="D59" s="389">
        <v>1224</v>
      </c>
      <c r="E59" s="389">
        <v>1367</v>
      </c>
      <c r="F59" s="388">
        <v>1504</v>
      </c>
      <c r="G59" s="388">
        <v>1634</v>
      </c>
    </row>
    <row r="60" spans="1:7" x14ac:dyDescent="0.25">
      <c r="A60" s="388">
        <v>3600</v>
      </c>
      <c r="B60" s="389">
        <v>680</v>
      </c>
      <c r="C60" s="389">
        <v>1027</v>
      </c>
      <c r="D60" s="389">
        <v>1237</v>
      </c>
      <c r="E60" s="389">
        <v>1382</v>
      </c>
      <c r="F60" s="388">
        <v>1520</v>
      </c>
      <c r="G60" s="388">
        <v>1652</v>
      </c>
    </row>
    <row r="61" spans="1:7" x14ac:dyDescent="0.25">
      <c r="A61" s="388">
        <v>3650</v>
      </c>
      <c r="B61" s="389">
        <v>689</v>
      </c>
      <c r="C61" s="389">
        <v>1038</v>
      </c>
      <c r="D61" s="389">
        <v>1251</v>
      </c>
      <c r="E61" s="389">
        <v>1397</v>
      </c>
      <c r="F61" s="388">
        <v>1537</v>
      </c>
      <c r="G61" s="388">
        <v>1670</v>
      </c>
    </row>
    <row r="62" spans="1:7" x14ac:dyDescent="0.25">
      <c r="A62" s="388">
        <v>3700</v>
      </c>
      <c r="B62" s="389">
        <v>698</v>
      </c>
      <c r="C62" s="389">
        <v>1050</v>
      </c>
      <c r="D62" s="389">
        <v>1264</v>
      </c>
      <c r="E62" s="389">
        <v>1412</v>
      </c>
      <c r="F62" s="388">
        <v>1553</v>
      </c>
      <c r="G62" s="388">
        <v>1688</v>
      </c>
    </row>
    <row r="63" spans="1:7" x14ac:dyDescent="0.25">
      <c r="A63" s="388">
        <v>3750</v>
      </c>
      <c r="B63" s="389">
        <v>707</v>
      </c>
      <c r="C63" s="389">
        <v>1062</v>
      </c>
      <c r="D63" s="389">
        <v>1277</v>
      </c>
      <c r="E63" s="389">
        <v>1427</v>
      </c>
      <c r="F63" s="388">
        <v>1570</v>
      </c>
      <c r="G63" s="388">
        <v>1706</v>
      </c>
    </row>
    <row r="64" spans="1:7" x14ac:dyDescent="0.25">
      <c r="A64" s="388">
        <v>3800</v>
      </c>
      <c r="B64" s="389">
        <v>716</v>
      </c>
      <c r="C64" s="389">
        <v>1073</v>
      </c>
      <c r="D64" s="389">
        <v>1291</v>
      </c>
      <c r="E64" s="389">
        <v>1442</v>
      </c>
      <c r="F64" s="388">
        <v>1586</v>
      </c>
      <c r="G64" s="388">
        <v>1724</v>
      </c>
    </row>
    <row r="65" spans="1:7" x14ac:dyDescent="0.25">
      <c r="A65" s="388">
        <v>3850</v>
      </c>
      <c r="B65" s="389">
        <v>725</v>
      </c>
      <c r="C65" s="389">
        <v>1085</v>
      </c>
      <c r="D65" s="389">
        <v>1304</v>
      </c>
      <c r="E65" s="389">
        <v>1457</v>
      </c>
      <c r="F65" s="388">
        <v>1602</v>
      </c>
      <c r="G65" s="388">
        <v>1742</v>
      </c>
    </row>
    <row r="66" spans="1:7" x14ac:dyDescent="0.25">
      <c r="A66" s="388">
        <v>3900</v>
      </c>
      <c r="B66" s="389">
        <v>733</v>
      </c>
      <c r="C66" s="389">
        <v>1097</v>
      </c>
      <c r="D66" s="389">
        <v>1318</v>
      </c>
      <c r="E66" s="389">
        <v>1472</v>
      </c>
      <c r="F66" s="388">
        <v>1620</v>
      </c>
      <c r="G66" s="388">
        <v>1761</v>
      </c>
    </row>
    <row r="67" spans="1:7" x14ac:dyDescent="0.25">
      <c r="A67" s="388">
        <v>3950</v>
      </c>
      <c r="B67" s="389">
        <v>741</v>
      </c>
      <c r="C67" s="389">
        <v>1110</v>
      </c>
      <c r="D67" s="389">
        <v>1334</v>
      </c>
      <c r="E67" s="389">
        <v>1490</v>
      </c>
      <c r="F67" s="388">
        <v>1639</v>
      </c>
      <c r="G67" s="388">
        <v>1781</v>
      </c>
    </row>
    <row r="68" spans="1:7" x14ac:dyDescent="0.25">
      <c r="A68" s="388">
        <v>4000</v>
      </c>
      <c r="B68" s="389">
        <v>750</v>
      </c>
      <c r="C68" s="389">
        <v>1123</v>
      </c>
      <c r="D68" s="389">
        <v>1349</v>
      </c>
      <c r="E68" s="389">
        <v>1507</v>
      </c>
      <c r="F68" s="388">
        <v>1658</v>
      </c>
      <c r="G68" s="388">
        <v>1802</v>
      </c>
    </row>
    <row r="69" spans="1:7" x14ac:dyDescent="0.25">
      <c r="A69" s="388">
        <v>4050</v>
      </c>
      <c r="B69" s="389">
        <v>758</v>
      </c>
      <c r="C69" s="389">
        <v>1137</v>
      </c>
      <c r="D69" s="389">
        <v>1365</v>
      </c>
      <c r="E69" s="389">
        <v>1524</v>
      </c>
      <c r="F69" s="388">
        <v>1677</v>
      </c>
      <c r="G69" s="388">
        <v>1823</v>
      </c>
    </row>
    <row r="70" spans="1:7" x14ac:dyDescent="0.25">
      <c r="A70" s="388">
        <v>4100</v>
      </c>
      <c r="B70" s="389">
        <v>766</v>
      </c>
      <c r="C70" s="389">
        <v>1150</v>
      </c>
      <c r="D70" s="389">
        <v>1380</v>
      </c>
      <c r="E70" s="389">
        <v>1542</v>
      </c>
      <c r="F70" s="388">
        <v>1696</v>
      </c>
      <c r="G70" s="388">
        <v>1843</v>
      </c>
    </row>
    <row r="71" spans="1:7" x14ac:dyDescent="0.25">
      <c r="A71" s="388">
        <v>4150</v>
      </c>
      <c r="B71" s="389">
        <v>774</v>
      </c>
      <c r="C71" s="389">
        <v>1163</v>
      </c>
      <c r="D71" s="389">
        <v>1396</v>
      </c>
      <c r="E71" s="389">
        <v>1559</v>
      </c>
      <c r="F71" s="388">
        <v>1715</v>
      </c>
      <c r="G71" s="388">
        <v>1864</v>
      </c>
    </row>
    <row r="72" spans="1:7" x14ac:dyDescent="0.25">
      <c r="A72" s="388">
        <v>4200</v>
      </c>
      <c r="B72" s="389">
        <v>782</v>
      </c>
      <c r="C72" s="389">
        <v>1176</v>
      </c>
      <c r="D72" s="389">
        <v>1411</v>
      </c>
      <c r="E72" s="389">
        <v>1576</v>
      </c>
      <c r="F72" s="388">
        <v>1734</v>
      </c>
      <c r="G72" s="388">
        <v>1885</v>
      </c>
    </row>
    <row r="73" spans="1:7" x14ac:dyDescent="0.25">
      <c r="A73" s="388">
        <v>4250</v>
      </c>
      <c r="B73" s="389">
        <v>790</v>
      </c>
      <c r="C73" s="389">
        <v>1189</v>
      </c>
      <c r="D73" s="389">
        <v>1427</v>
      </c>
      <c r="E73" s="389">
        <v>1593</v>
      </c>
      <c r="F73" s="388">
        <v>1753</v>
      </c>
      <c r="G73" s="388">
        <v>1905</v>
      </c>
    </row>
    <row r="74" spans="1:7" x14ac:dyDescent="0.25">
      <c r="A74" s="388">
        <v>4300</v>
      </c>
      <c r="B74" s="389">
        <v>798</v>
      </c>
      <c r="C74" s="389">
        <v>1202</v>
      </c>
      <c r="D74" s="389">
        <v>1442</v>
      </c>
      <c r="E74" s="389">
        <v>1611</v>
      </c>
      <c r="F74" s="388">
        <v>1772</v>
      </c>
      <c r="G74" s="388">
        <v>1926</v>
      </c>
    </row>
    <row r="75" spans="1:7" x14ac:dyDescent="0.25">
      <c r="A75" s="388">
        <v>4350</v>
      </c>
      <c r="B75" s="389">
        <v>806</v>
      </c>
      <c r="C75" s="389">
        <v>1215</v>
      </c>
      <c r="D75" s="389">
        <v>1458</v>
      </c>
      <c r="E75" s="389">
        <v>1628</v>
      </c>
      <c r="F75" s="388">
        <v>1791</v>
      </c>
      <c r="G75" s="388">
        <v>1947</v>
      </c>
    </row>
    <row r="76" spans="1:7" x14ac:dyDescent="0.25">
      <c r="A76" s="388">
        <v>4400</v>
      </c>
      <c r="B76" s="389">
        <v>813</v>
      </c>
      <c r="C76" s="389">
        <v>1228</v>
      </c>
      <c r="D76" s="389">
        <v>1472</v>
      </c>
      <c r="E76" s="389">
        <v>1644</v>
      </c>
      <c r="F76" s="388">
        <v>1809</v>
      </c>
      <c r="G76" s="388">
        <v>1966</v>
      </c>
    </row>
    <row r="77" spans="1:7" x14ac:dyDescent="0.25">
      <c r="A77" s="388">
        <v>4450</v>
      </c>
      <c r="B77" s="389">
        <v>820</v>
      </c>
      <c r="C77" s="389">
        <v>1239</v>
      </c>
      <c r="D77" s="389">
        <v>1485</v>
      </c>
      <c r="E77" s="389">
        <v>1659</v>
      </c>
      <c r="F77" s="388">
        <v>1825</v>
      </c>
      <c r="G77" s="388">
        <v>1984</v>
      </c>
    </row>
    <row r="78" spans="1:7" x14ac:dyDescent="0.25">
      <c r="A78" s="388">
        <v>4500</v>
      </c>
      <c r="B78" s="389">
        <v>826</v>
      </c>
      <c r="C78" s="389">
        <v>1247</v>
      </c>
      <c r="D78" s="389">
        <v>1495</v>
      </c>
      <c r="E78" s="389">
        <v>1670</v>
      </c>
      <c r="F78" s="388">
        <v>1837</v>
      </c>
      <c r="G78" s="388">
        <v>1997</v>
      </c>
    </row>
    <row r="79" spans="1:7" x14ac:dyDescent="0.25">
      <c r="A79" s="388">
        <v>4550</v>
      </c>
      <c r="B79" s="389">
        <v>831</v>
      </c>
      <c r="C79" s="389">
        <v>1256</v>
      </c>
      <c r="D79" s="389">
        <v>1505</v>
      </c>
      <c r="E79" s="389">
        <v>1681</v>
      </c>
      <c r="F79" s="388">
        <v>1850</v>
      </c>
      <c r="G79" s="388">
        <v>2010</v>
      </c>
    </row>
    <row r="80" spans="1:7" x14ac:dyDescent="0.25">
      <c r="A80" s="388">
        <v>4600</v>
      </c>
      <c r="B80" s="389">
        <v>837</v>
      </c>
      <c r="C80" s="389">
        <v>1264</v>
      </c>
      <c r="D80" s="389">
        <v>1515</v>
      </c>
      <c r="E80" s="389">
        <v>1693</v>
      </c>
      <c r="F80" s="388">
        <v>1862</v>
      </c>
      <c r="G80" s="388">
        <v>2024</v>
      </c>
    </row>
    <row r="81" spans="1:7" x14ac:dyDescent="0.25">
      <c r="A81" s="388">
        <v>4650</v>
      </c>
      <c r="B81" s="389">
        <v>843</v>
      </c>
      <c r="C81" s="389">
        <v>1273</v>
      </c>
      <c r="D81" s="389">
        <v>1525</v>
      </c>
      <c r="E81" s="389">
        <v>1704</v>
      </c>
      <c r="F81" s="388">
        <v>1874</v>
      </c>
      <c r="G81" s="388">
        <v>2037</v>
      </c>
    </row>
    <row r="82" spans="1:7" x14ac:dyDescent="0.25">
      <c r="A82" s="388">
        <v>4700</v>
      </c>
      <c r="B82" s="389">
        <v>848</v>
      </c>
      <c r="C82" s="389">
        <v>1281</v>
      </c>
      <c r="D82" s="389">
        <v>1535</v>
      </c>
      <c r="E82" s="389">
        <v>1715</v>
      </c>
      <c r="F82" s="388">
        <v>1887</v>
      </c>
      <c r="G82" s="388">
        <v>2051</v>
      </c>
    </row>
    <row r="83" spans="1:7" x14ac:dyDescent="0.25">
      <c r="A83" s="388">
        <v>4750</v>
      </c>
      <c r="B83" s="389">
        <v>854</v>
      </c>
      <c r="C83" s="389">
        <v>1289</v>
      </c>
      <c r="D83" s="389">
        <v>1545</v>
      </c>
      <c r="E83" s="389">
        <v>1726</v>
      </c>
      <c r="F83" s="388">
        <v>1899</v>
      </c>
      <c r="G83" s="388">
        <v>2064</v>
      </c>
    </row>
    <row r="84" spans="1:7" x14ac:dyDescent="0.25">
      <c r="A84" s="388">
        <v>4800</v>
      </c>
      <c r="B84" s="389">
        <v>860</v>
      </c>
      <c r="C84" s="389">
        <v>1298</v>
      </c>
      <c r="D84" s="389">
        <v>1556</v>
      </c>
      <c r="E84" s="389">
        <v>1738</v>
      </c>
      <c r="F84" s="388">
        <v>1911</v>
      </c>
      <c r="G84" s="388">
        <v>2078</v>
      </c>
    </row>
    <row r="85" spans="1:7" x14ac:dyDescent="0.25">
      <c r="A85" s="388">
        <v>4850</v>
      </c>
      <c r="B85" s="389">
        <v>865</v>
      </c>
      <c r="C85" s="389">
        <v>1306</v>
      </c>
      <c r="D85" s="389">
        <v>1566</v>
      </c>
      <c r="E85" s="389">
        <v>1749</v>
      </c>
      <c r="F85" s="388">
        <v>1924</v>
      </c>
      <c r="G85" s="388">
        <v>2091</v>
      </c>
    </row>
    <row r="86" spans="1:7" x14ac:dyDescent="0.25">
      <c r="A86" s="388">
        <v>4900</v>
      </c>
      <c r="B86" s="389">
        <v>871</v>
      </c>
      <c r="C86" s="389">
        <v>1315</v>
      </c>
      <c r="D86" s="389">
        <v>1576</v>
      </c>
      <c r="E86" s="389">
        <v>1760</v>
      </c>
      <c r="F86" s="388">
        <v>1936</v>
      </c>
      <c r="G86" s="388">
        <v>2104</v>
      </c>
    </row>
    <row r="87" spans="1:7" x14ac:dyDescent="0.25">
      <c r="A87" s="388">
        <v>4950</v>
      </c>
      <c r="B87" s="389">
        <v>877</v>
      </c>
      <c r="C87" s="389">
        <v>1323</v>
      </c>
      <c r="D87" s="389">
        <v>1586</v>
      </c>
      <c r="E87" s="389">
        <v>1771</v>
      </c>
      <c r="F87" s="388">
        <v>1948</v>
      </c>
      <c r="G87" s="388">
        <v>2118</v>
      </c>
    </row>
    <row r="88" spans="1:7" x14ac:dyDescent="0.25">
      <c r="A88" s="388">
        <v>5000</v>
      </c>
      <c r="B88" s="389">
        <v>883</v>
      </c>
      <c r="C88" s="389">
        <v>1332</v>
      </c>
      <c r="D88" s="389">
        <v>1596</v>
      </c>
      <c r="E88" s="389">
        <v>1782</v>
      </c>
      <c r="F88" s="388">
        <v>1961</v>
      </c>
      <c r="G88" s="388">
        <v>2131</v>
      </c>
    </row>
    <row r="89" spans="1:7" x14ac:dyDescent="0.25">
      <c r="A89" s="388">
        <v>5050</v>
      </c>
      <c r="B89" s="389">
        <v>888</v>
      </c>
      <c r="C89" s="389">
        <v>1340</v>
      </c>
      <c r="D89" s="389">
        <v>1606</v>
      </c>
      <c r="E89" s="389">
        <v>1794</v>
      </c>
      <c r="F89" s="388">
        <v>1973</v>
      </c>
      <c r="G89" s="388">
        <v>2145</v>
      </c>
    </row>
    <row r="90" spans="1:7" x14ac:dyDescent="0.25">
      <c r="A90" s="388">
        <v>5100</v>
      </c>
      <c r="B90" s="389">
        <v>893</v>
      </c>
      <c r="C90" s="389">
        <v>1347</v>
      </c>
      <c r="D90" s="389">
        <v>1614</v>
      </c>
      <c r="E90" s="389">
        <v>1803</v>
      </c>
      <c r="F90" s="388">
        <v>1983</v>
      </c>
      <c r="G90" s="388">
        <v>2155</v>
      </c>
    </row>
    <row r="91" spans="1:7" x14ac:dyDescent="0.25">
      <c r="A91" s="388">
        <v>5150</v>
      </c>
      <c r="B91" s="389">
        <v>896</v>
      </c>
      <c r="C91" s="389">
        <v>1352</v>
      </c>
      <c r="D91" s="389">
        <v>1619</v>
      </c>
      <c r="E91" s="389">
        <v>1809</v>
      </c>
      <c r="F91" s="388">
        <v>1990</v>
      </c>
      <c r="G91" s="388">
        <v>2163</v>
      </c>
    </row>
    <row r="92" spans="1:7" x14ac:dyDescent="0.25">
      <c r="A92" s="388">
        <v>5200</v>
      </c>
      <c r="B92" s="389">
        <v>900</v>
      </c>
      <c r="C92" s="389">
        <v>1357</v>
      </c>
      <c r="D92" s="389">
        <v>1625</v>
      </c>
      <c r="E92" s="389">
        <v>1815</v>
      </c>
      <c r="F92" s="388">
        <v>1997</v>
      </c>
      <c r="G92" s="388">
        <v>2170</v>
      </c>
    </row>
    <row r="93" spans="1:7" x14ac:dyDescent="0.25">
      <c r="A93" s="388">
        <v>5250</v>
      </c>
      <c r="B93" s="389">
        <v>903</v>
      </c>
      <c r="C93" s="389">
        <v>1362</v>
      </c>
      <c r="D93" s="389">
        <v>1631</v>
      </c>
      <c r="E93" s="389">
        <v>1821</v>
      </c>
      <c r="F93" s="388">
        <v>2004</v>
      </c>
      <c r="G93" s="388">
        <v>2178</v>
      </c>
    </row>
    <row r="94" spans="1:7" x14ac:dyDescent="0.25">
      <c r="A94" s="388">
        <v>5300</v>
      </c>
      <c r="B94" s="389">
        <v>907</v>
      </c>
      <c r="C94" s="389">
        <v>1367</v>
      </c>
      <c r="D94" s="389">
        <v>1636</v>
      </c>
      <c r="E94" s="389">
        <v>1828</v>
      </c>
      <c r="F94" s="388">
        <v>2011</v>
      </c>
      <c r="G94" s="388">
        <v>2185</v>
      </c>
    </row>
    <row r="95" spans="1:7" x14ac:dyDescent="0.25">
      <c r="A95" s="388">
        <v>5350</v>
      </c>
      <c r="B95" s="389">
        <v>910</v>
      </c>
      <c r="C95" s="389">
        <v>1372</v>
      </c>
      <c r="D95" s="389">
        <v>1642</v>
      </c>
      <c r="E95" s="389">
        <v>1834</v>
      </c>
      <c r="F95" s="388">
        <v>2017</v>
      </c>
      <c r="G95" s="388">
        <v>2193</v>
      </c>
    </row>
    <row r="96" spans="1:7" x14ac:dyDescent="0.25">
      <c r="A96" s="388">
        <v>5400</v>
      </c>
      <c r="B96" s="389">
        <v>914</v>
      </c>
      <c r="C96" s="389">
        <v>1377</v>
      </c>
      <c r="D96" s="389">
        <v>1648</v>
      </c>
      <c r="E96" s="389">
        <v>1840</v>
      </c>
      <c r="F96" s="388">
        <v>2024</v>
      </c>
      <c r="G96" s="388">
        <v>2200</v>
      </c>
    </row>
    <row r="97" spans="1:7" x14ac:dyDescent="0.25">
      <c r="A97" s="388">
        <v>5450</v>
      </c>
      <c r="B97" s="389">
        <v>917</v>
      </c>
      <c r="C97" s="389">
        <v>1382</v>
      </c>
      <c r="D97" s="389">
        <v>1653</v>
      </c>
      <c r="E97" s="389">
        <v>1847</v>
      </c>
      <c r="F97" s="388">
        <v>2031</v>
      </c>
      <c r="G97" s="388">
        <v>2208</v>
      </c>
    </row>
    <row r="98" spans="1:7" x14ac:dyDescent="0.25">
      <c r="A98" s="388">
        <v>5500</v>
      </c>
      <c r="B98" s="389">
        <v>921</v>
      </c>
      <c r="C98" s="389">
        <v>1387</v>
      </c>
      <c r="D98" s="389">
        <v>1659</v>
      </c>
      <c r="E98" s="389">
        <v>1853</v>
      </c>
      <c r="F98" s="388">
        <v>2038</v>
      </c>
      <c r="G98" s="388">
        <v>2216</v>
      </c>
    </row>
    <row r="99" spans="1:7" x14ac:dyDescent="0.25">
      <c r="A99" s="388">
        <v>5550</v>
      </c>
      <c r="B99" s="389">
        <v>924</v>
      </c>
      <c r="C99" s="389">
        <v>1392</v>
      </c>
      <c r="D99" s="389">
        <v>1664</v>
      </c>
      <c r="E99" s="389">
        <v>1859</v>
      </c>
      <c r="F99" s="388">
        <v>2045</v>
      </c>
      <c r="G99" s="388">
        <v>2223</v>
      </c>
    </row>
    <row r="100" spans="1:7" x14ac:dyDescent="0.25">
      <c r="A100" s="388">
        <v>5600</v>
      </c>
      <c r="B100" s="389">
        <v>927</v>
      </c>
      <c r="C100" s="389">
        <v>1397</v>
      </c>
      <c r="D100" s="389">
        <v>1670</v>
      </c>
      <c r="E100" s="389">
        <v>1865</v>
      </c>
      <c r="F100" s="388">
        <v>2052</v>
      </c>
      <c r="G100" s="388">
        <v>2231</v>
      </c>
    </row>
    <row r="101" spans="1:7" x14ac:dyDescent="0.25">
      <c r="A101" s="388">
        <v>5650</v>
      </c>
      <c r="B101" s="389">
        <v>931</v>
      </c>
      <c r="C101" s="389">
        <v>1402</v>
      </c>
      <c r="D101" s="389">
        <v>1676</v>
      </c>
      <c r="E101" s="389">
        <v>1872</v>
      </c>
      <c r="F101" s="388">
        <v>2059</v>
      </c>
      <c r="G101" s="388">
        <v>2238</v>
      </c>
    </row>
    <row r="102" spans="1:7" x14ac:dyDescent="0.25">
      <c r="A102" s="388">
        <v>5700</v>
      </c>
      <c r="B102" s="389">
        <v>934</v>
      </c>
      <c r="C102" s="389">
        <v>1407</v>
      </c>
      <c r="D102" s="389">
        <v>1681</v>
      </c>
      <c r="E102" s="389">
        <v>1878</v>
      </c>
      <c r="F102" s="388">
        <v>2066</v>
      </c>
      <c r="G102" s="388">
        <v>2246</v>
      </c>
    </row>
    <row r="103" spans="1:7" x14ac:dyDescent="0.25">
      <c r="A103" s="388">
        <v>5750</v>
      </c>
      <c r="B103" s="389">
        <v>938</v>
      </c>
      <c r="C103" s="389">
        <v>1411</v>
      </c>
      <c r="D103" s="389">
        <v>1685</v>
      </c>
      <c r="E103" s="389">
        <v>1882</v>
      </c>
      <c r="F103" s="388">
        <v>2070</v>
      </c>
      <c r="G103" s="388">
        <v>2251</v>
      </c>
    </row>
    <row r="104" spans="1:7" x14ac:dyDescent="0.25">
      <c r="A104" s="388">
        <v>5800</v>
      </c>
      <c r="B104" s="389">
        <v>941</v>
      </c>
      <c r="C104" s="389">
        <v>1414</v>
      </c>
      <c r="D104" s="389">
        <v>1688</v>
      </c>
      <c r="E104" s="389">
        <v>1885</v>
      </c>
      <c r="F104" s="388">
        <v>2074</v>
      </c>
      <c r="G104" s="388">
        <v>2254</v>
      </c>
    </row>
    <row r="105" spans="1:7" x14ac:dyDescent="0.25">
      <c r="A105" s="388">
        <v>5850</v>
      </c>
      <c r="B105" s="389">
        <v>944</v>
      </c>
      <c r="C105" s="389">
        <v>1418</v>
      </c>
      <c r="D105" s="389">
        <v>1691</v>
      </c>
      <c r="E105" s="389">
        <v>1889</v>
      </c>
      <c r="F105" s="388">
        <v>2078</v>
      </c>
      <c r="G105" s="388">
        <v>2258</v>
      </c>
    </row>
    <row r="106" spans="1:7" x14ac:dyDescent="0.25">
      <c r="A106" s="388">
        <v>5900</v>
      </c>
      <c r="B106" s="389">
        <v>947</v>
      </c>
      <c r="C106" s="389">
        <v>1421</v>
      </c>
      <c r="D106" s="389">
        <v>1694</v>
      </c>
      <c r="E106" s="389">
        <v>1892</v>
      </c>
      <c r="F106" s="388">
        <v>2081</v>
      </c>
      <c r="G106" s="388">
        <v>2262</v>
      </c>
    </row>
    <row r="107" spans="1:7" x14ac:dyDescent="0.25">
      <c r="A107" s="388">
        <v>5950</v>
      </c>
      <c r="B107" s="389">
        <v>950</v>
      </c>
      <c r="C107" s="389">
        <v>1425</v>
      </c>
      <c r="D107" s="389">
        <v>1697</v>
      </c>
      <c r="E107" s="389">
        <v>1895</v>
      </c>
      <c r="F107" s="388">
        <v>2085</v>
      </c>
      <c r="G107" s="388">
        <v>2266</v>
      </c>
    </row>
    <row r="108" spans="1:7" x14ac:dyDescent="0.25">
      <c r="A108" s="388">
        <v>6000</v>
      </c>
      <c r="B108" s="389">
        <v>953</v>
      </c>
      <c r="C108" s="389">
        <v>1429</v>
      </c>
      <c r="D108" s="389">
        <v>1700</v>
      </c>
      <c r="E108" s="389">
        <v>1899</v>
      </c>
      <c r="F108" s="388">
        <v>2088</v>
      </c>
      <c r="G108" s="388">
        <v>2270</v>
      </c>
    </row>
    <row r="109" spans="1:7" x14ac:dyDescent="0.25">
      <c r="A109" s="388">
        <v>6050</v>
      </c>
      <c r="B109" s="389">
        <v>956</v>
      </c>
      <c r="C109" s="389">
        <v>1432</v>
      </c>
      <c r="D109" s="389">
        <v>1703</v>
      </c>
      <c r="E109" s="389">
        <v>1902</v>
      </c>
      <c r="F109" s="388">
        <v>2092</v>
      </c>
      <c r="G109" s="388">
        <v>2274</v>
      </c>
    </row>
    <row r="110" spans="1:7" x14ac:dyDescent="0.25">
      <c r="A110" s="388">
        <v>6100</v>
      </c>
      <c r="B110" s="389">
        <v>959</v>
      </c>
      <c r="C110" s="389">
        <v>1436</v>
      </c>
      <c r="D110" s="389">
        <v>1705</v>
      </c>
      <c r="E110" s="389">
        <v>1905</v>
      </c>
      <c r="F110" s="388">
        <v>2096</v>
      </c>
      <c r="G110" s="388">
        <v>2278</v>
      </c>
    </row>
    <row r="111" spans="1:7" x14ac:dyDescent="0.25">
      <c r="A111" s="388">
        <v>6150</v>
      </c>
      <c r="B111" s="389">
        <v>962</v>
      </c>
      <c r="C111" s="389">
        <v>1439</v>
      </c>
      <c r="D111" s="389">
        <v>1708</v>
      </c>
      <c r="E111" s="389">
        <v>1908</v>
      </c>
      <c r="F111" s="388">
        <v>2099</v>
      </c>
      <c r="G111" s="388">
        <v>2282</v>
      </c>
    </row>
    <row r="112" spans="1:7" x14ac:dyDescent="0.25">
      <c r="A112" s="388">
        <v>6200</v>
      </c>
      <c r="B112" s="389">
        <v>966</v>
      </c>
      <c r="C112" s="389">
        <v>1443</v>
      </c>
      <c r="D112" s="389">
        <v>1711</v>
      </c>
      <c r="E112" s="389">
        <v>1912</v>
      </c>
      <c r="F112" s="388">
        <v>2103</v>
      </c>
      <c r="G112" s="388">
        <v>2286</v>
      </c>
    </row>
    <row r="113" spans="1:7" x14ac:dyDescent="0.25">
      <c r="A113" s="388">
        <v>6250</v>
      </c>
      <c r="B113" s="389">
        <v>969</v>
      </c>
      <c r="C113" s="389">
        <v>1447</v>
      </c>
      <c r="D113" s="389">
        <v>1714</v>
      </c>
      <c r="E113" s="389">
        <v>1915</v>
      </c>
      <c r="F113" s="388">
        <v>2106</v>
      </c>
      <c r="G113" s="388">
        <v>2290</v>
      </c>
    </row>
    <row r="114" spans="1:7" x14ac:dyDescent="0.25">
      <c r="A114" s="388">
        <v>6300</v>
      </c>
      <c r="B114" s="389">
        <v>972</v>
      </c>
      <c r="C114" s="389">
        <v>1450</v>
      </c>
      <c r="D114" s="389">
        <v>1717</v>
      </c>
      <c r="E114" s="389">
        <v>1918</v>
      </c>
      <c r="F114" s="388">
        <v>2110</v>
      </c>
      <c r="G114" s="388">
        <v>2293</v>
      </c>
    </row>
    <row r="115" spans="1:7" x14ac:dyDescent="0.25">
      <c r="A115" s="388">
        <v>6350</v>
      </c>
      <c r="B115" s="389">
        <v>975</v>
      </c>
      <c r="C115" s="389">
        <v>1454</v>
      </c>
      <c r="D115" s="389">
        <v>1720</v>
      </c>
      <c r="E115" s="389">
        <v>1921</v>
      </c>
      <c r="F115" s="388">
        <v>2113</v>
      </c>
      <c r="G115" s="388">
        <v>2297</v>
      </c>
    </row>
    <row r="116" spans="1:7" x14ac:dyDescent="0.25">
      <c r="A116" s="388">
        <v>6400</v>
      </c>
      <c r="B116" s="389">
        <v>979</v>
      </c>
      <c r="C116" s="389">
        <v>1461</v>
      </c>
      <c r="D116" s="389">
        <v>1729</v>
      </c>
      <c r="E116" s="389">
        <v>1932</v>
      </c>
      <c r="F116" s="388">
        <v>2125</v>
      </c>
      <c r="G116" s="388">
        <v>2310</v>
      </c>
    </row>
    <row r="117" spans="1:7" x14ac:dyDescent="0.25">
      <c r="A117" s="388">
        <v>6450</v>
      </c>
      <c r="B117" s="389">
        <v>984</v>
      </c>
      <c r="C117" s="389">
        <v>1468</v>
      </c>
      <c r="D117" s="389">
        <v>1739</v>
      </c>
      <c r="E117" s="389">
        <v>1942</v>
      </c>
      <c r="F117" s="388">
        <v>2137</v>
      </c>
      <c r="G117" s="388">
        <v>2322</v>
      </c>
    </row>
    <row r="118" spans="1:7" x14ac:dyDescent="0.25">
      <c r="A118" s="388">
        <v>6500</v>
      </c>
      <c r="B118" s="389">
        <v>988</v>
      </c>
      <c r="C118" s="389">
        <v>1475</v>
      </c>
      <c r="D118" s="389">
        <v>1749</v>
      </c>
      <c r="E118" s="389">
        <v>1953</v>
      </c>
      <c r="F118" s="388">
        <v>2148</v>
      </c>
      <c r="G118" s="388">
        <v>2335</v>
      </c>
    </row>
    <row r="119" spans="1:7" x14ac:dyDescent="0.25">
      <c r="A119" s="388">
        <v>6550</v>
      </c>
      <c r="B119" s="389">
        <v>992</v>
      </c>
      <c r="C119" s="389">
        <v>1483</v>
      </c>
      <c r="D119" s="389">
        <v>1758</v>
      </c>
      <c r="E119" s="389">
        <v>1964</v>
      </c>
      <c r="F119" s="388">
        <v>2160</v>
      </c>
      <c r="G119" s="388">
        <v>2348</v>
      </c>
    </row>
    <row r="120" spans="1:7" x14ac:dyDescent="0.25">
      <c r="A120" s="388">
        <v>6600</v>
      </c>
      <c r="B120" s="389">
        <v>997</v>
      </c>
      <c r="C120" s="389">
        <v>1490</v>
      </c>
      <c r="D120" s="389">
        <v>1768</v>
      </c>
      <c r="E120" s="389">
        <v>1975</v>
      </c>
      <c r="F120" s="388">
        <v>2172</v>
      </c>
      <c r="G120" s="388">
        <v>2361</v>
      </c>
    </row>
    <row r="121" spans="1:7" x14ac:dyDescent="0.25">
      <c r="A121" s="388">
        <v>6650</v>
      </c>
      <c r="B121" s="389">
        <v>1001</v>
      </c>
      <c r="C121" s="389">
        <v>1497</v>
      </c>
      <c r="D121" s="389">
        <v>1778</v>
      </c>
      <c r="E121" s="389">
        <v>1986</v>
      </c>
      <c r="F121" s="388">
        <v>2184</v>
      </c>
      <c r="G121" s="388">
        <v>2374</v>
      </c>
    </row>
    <row r="122" spans="1:7" x14ac:dyDescent="0.25">
      <c r="A122" s="388">
        <v>6700</v>
      </c>
      <c r="B122" s="389">
        <v>1005</v>
      </c>
      <c r="C122" s="389">
        <v>1505</v>
      </c>
      <c r="D122" s="389">
        <v>1787</v>
      </c>
      <c r="E122" s="389">
        <v>1996</v>
      </c>
      <c r="F122" s="388">
        <v>2196</v>
      </c>
      <c r="G122" s="388">
        <v>2387</v>
      </c>
    </row>
    <row r="123" spans="1:7" x14ac:dyDescent="0.25">
      <c r="A123" s="388">
        <v>6750</v>
      </c>
      <c r="B123" s="389">
        <v>1010</v>
      </c>
      <c r="C123" s="389">
        <v>1512</v>
      </c>
      <c r="D123" s="389">
        <v>1797</v>
      </c>
      <c r="E123" s="389">
        <v>2007</v>
      </c>
      <c r="F123" s="388">
        <v>2208</v>
      </c>
      <c r="G123" s="388">
        <v>2400</v>
      </c>
    </row>
    <row r="124" spans="1:7" x14ac:dyDescent="0.25">
      <c r="A124" s="388">
        <v>6800</v>
      </c>
      <c r="B124" s="389">
        <v>1014</v>
      </c>
      <c r="C124" s="389">
        <v>1519</v>
      </c>
      <c r="D124" s="389">
        <v>1807</v>
      </c>
      <c r="E124" s="389">
        <v>2018</v>
      </c>
      <c r="F124" s="388">
        <v>2220</v>
      </c>
      <c r="G124" s="388">
        <v>2413</v>
      </c>
    </row>
    <row r="125" spans="1:7" x14ac:dyDescent="0.25">
      <c r="A125" s="388">
        <v>6850</v>
      </c>
      <c r="B125" s="389">
        <v>1018</v>
      </c>
      <c r="C125" s="389">
        <v>1527</v>
      </c>
      <c r="D125" s="389">
        <v>1816</v>
      </c>
      <c r="E125" s="389">
        <v>2029</v>
      </c>
      <c r="F125" s="388">
        <v>2232</v>
      </c>
      <c r="G125" s="388">
        <v>2426</v>
      </c>
    </row>
    <row r="126" spans="1:7" x14ac:dyDescent="0.25">
      <c r="A126" s="388">
        <v>6900</v>
      </c>
      <c r="B126" s="389">
        <v>1023</v>
      </c>
      <c r="C126" s="389">
        <v>1534</v>
      </c>
      <c r="D126" s="389">
        <v>1826</v>
      </c>
      <c r="E126" s="389">
        <v>2040</v>
      </c>
      <c r="F126" s="388">
        <v>2244</v>
      </c>
      <c r="G126" s="388">
        <v>2439</v>
      </c>
    </row>
    <row r="127" spans="1:7" x14ac:dyDescent="0.25">
      <c r="A127" s="388">
        <v>6950</v>
      </c>
      <c r="B127" s="389">
        <v>1027</v>
      </c>
      <c r="C127" s="389">
        <v>1541</v>
      </c>
      <c r="D127" s="389">
        <v>1836</v>
      </c>
      <c r="E127" s="389">
        <v>2051</v>
      </c>
      <c r="F127" s="388">
        <v>2256</v>
      </c>
      <c r="G127" s="388">
        <v>2452</v>
      </c>
    </row>
    <row r="128" spans="1:7" x14ac:dyDescent="0.25">
      <c r="A128" s="388">
        <v>7000</v>
      </c>
      <c r="B128" s="389">
        <v>1031</v>
      </c>
      <c r="C128" s="389">
        <v>1548</v>
      </c>
      <c r="D128" s="389">
        <v>1845</v>
      </c>
      <c r="E128" s="389">
        <v>2060</v>
      </c>
      <c r="F128" s="388">
        <v>2266</v>
      </c>
      <c r="G128" s="388">
        <v>2464</v>
      </c>
    </row>
    <row r="129" spans="1:7" x14ac:dyDescent="0.25">
      <c r="A129" s="388">
        <v>7050</v>
      </c>
      <c r="B129" s="389">
        <v>1034</v>
      </c>
      <c r="C129" s="389">
        <v>1551</v>
      </c>
      <c r="D129" s="389">
        <v>1847</v>
      </c>
      <c r="E129" s="389">
        <v>2063</v>
      </c>
      <c r="F129" s="388">
        <v>2269</v>
      </c>
      <c r="G129" s="388">
        <v>2467</v>
      </c>
    </row>
    <row r="130" spans="1:7" x14ac:dyDescent="0.25">
      <c r="A130" s="388">
        <v>7100</v>
      </c>
      <c r="B130" s="389">
        <v>1036</v>
      </c>
      <c r="C130" s="389">
        <v>1554</v>
      </c>
      <c r="D130" s="389">
        <v>1850</v>
      </c>
      <c r="E130" s="389">
        <v>2066</v>
      </c>
      <c r="F130" s="388">
        <v>2273</v>
      </c>
      <c r="G130" s="388">
        <v>2470</v>
      </c>
    </row>
    <row r="131" spans="1:7" x14ac:dyDescent="0.25">
      <c r="A131" s="388">
        <v>7150</v>
      </c>
      <c r="B131" s="389">
        <v>1039</v>
      </c>
      <c r="C131" s="389">
        <v>1557</v>
      </c>
      <c r="D131" s="389">
        <v>1852</v>
      </c>
      <c r="E131" s="389">
        <v>2069</v>
      </c>
      <c r="F131" s="388">
        <v>2276</v>
      </c>
      <c r="G131" s="388">
        <v>2474</v>
      </c>
    </row>
    <row r="132" spans="1:7" x14ac:dyDescent="0.25">
      <c r="A132" s="388">
        <v>7200</v>
      </c>
      <c r="B132" s="389">
        <v>1042</v>
      </c>
      <c r="C132" s="389">
        <v>1560</v>
      </c>
      <c r="D132" s="389">
        <v>1854</v>
      </c>
      <c r="E132" s="389">
        <v>2071</v>
      </c>
      <c r="F132" s="388">
        <v>2279</v>
      </c>
      <c r="G132" s="388">
        <v>2477</v>
      </c>
    </row>
    <row r="133" spans="1:7" x14ac:dyDescent="0.25">
      <c r="A133" s="388">
        <v>7250</v>
      </c>
      <c r="B133" s="389">
        <v>1044</v>
      </c>
      <c r="C133" s="389">
        <v>1563</v>
      </c>
      <c r="D133" s="389">
        <v>1857</v>
      </c>
      <c r="E133" s="389">
        <v>2074</v>
      </c>
      <c r="F133" s="388">
        <v>2282</v>
      </c>
      <c r="G133" s="388">
        <v>2480</v>
      </c>
    </row>
    <row r="134" spans="1:7" x14ac:dyDescent="0.25">
      <c r="A134" s="388">
        <v>7300</v>
      </c>
      <c r="B134" s="389">
        <v>1047</v>
      </c>
      <c r="C134" s="389">
        <v>1566</v>
      </c>
      <c r="D134" s="389">
        <v>1859</v>
      </c>
      <c r="E134" s="389">
        <v>2077</v>
      </c>
      <c r="F134" s="388">
        <v>2285</v>
      </c>
      <c r="G134" s="388">
        <v>2483</v>
      </c>
    </row>
    <row r="135" spans="1:7" x14ac:dyDescent="0.25">
      <c r="A135" s="388">
        <v>7350</v>
      </c>
      <c r="B135" s="389">
        <v>1050</v>
      </c>
      <c r="C135" s="389">
        <v>1569</v>
      </c>
      <c r="D135" s="389">
        <v>1862</v>
      </c>
      <c r="E135" s="389">
        <v>2080</v>
      </c>
      <c r="F135" s="388">
        <v>2288</v>
      </c>
      <c r="G135" s="388">
        <v>2487</v>
      </c>
    </row>
    <row r="136" spans="1:7" x14ac:dyDescent="0.25">
      <c r="A136" s="388">
        <v>7400</v>
      </c>
      <c r="B136" s="389">
        <v>1052</v>
      </c>
      <c r="C136" s="389">
        <v>1572</v>
      </c>
      <c r="D136" s="389">
        <v>1864</v>
      </c>
      <c r="E136" s="389">
        <v>2082</v>
      </c>
      <c r="F136" s="388">
        <v>2291</v>
      </c>
      <c r="G136" s="388">
        <v>2490</v>
      </c>
    </row>
    <row r="137" spans="1:7" x14ac:dyDescent="0.25">
      <c r="A137" s="388">
        <v>7450</v>
      </c>
      <c r="B137" s="389">
        <v>1055</v>
      </c>
      <c r="C137" s="389">
        <v>1575</v>
      </c>
      <c r="D137" s="389">
        <v>1867</v>
      </c>
      <c r="E137" s="389">
        <v>2085</v>
      </c>
      <c r="F137" s="388">
        <v>2294</v>
      </c>
      <c r="G137" s="388">
        <v>2493</v>
      </c>
    </row>
    <row r="138" spans="1:7" x14ac:dyDescent="0.25">
      <c r="A138" s="388">
        <v>7500</v>
      </c>
      <c r="B138" s="389">
        <v>1058</v>
      </c>
      <c r="C138" s="389">
        <v>1578</v>
      </c>
      <c r="D138" s="389">
        <v>1869</v>
      </c>
      <c r="E138" s="389">
        <v>2088</v>
      </c>
      <c r="F138" s="388">
        <v>2297</v>
      </c>
      <c r="G138" s="388">
        <v>2497</v>
      </c>
    </row>
    <row r="139" spans="1:7" x14ac:dyDescent="0.25">
      <c r="A139" s="388">
        <v>7550</v>
      </c>
      <c r="B139" s="389">
        <v>1060</v>
      </c>
      <c r="C139" s="389">
        <v>1581</v>
      </c>
      <c r="D139" s="389">
        <v>1872</v>
      </c>
      <c r="E139" s="389">
        <v>2091</v>
      </c>
      <c r="F139" s="388">
        <v>2300</v>
      </c>
      <c r="G139" s="388">
        <v>2500</v>
      </c>
    </row>
    <row r="140" spans="1:7" x14ac:dyDescent="0.25">
      <c r="A140" s="388">
        <v>7600</v>
      </c>
      <c r="B140" s="389">
        <v>1063</v>
      </c>
      <c r="C140" s="389">
        <v>1584</v>
      </c>
      <c r="D140" s="389">
        <v>1874</v>
      </c>
      <c r="E140" s="389">
        <v>2093</v>
      </c>
      <c r="F140" s="388">
        <v>2303</v>
      </c>
      <c r="G140" s="388">
        <v>2503</v>
      </c>
    </row>
    <row r="141" spans="1:7" x14ac:dyDescent="0.25">
      <c r="A141" s="388">
        <v>7650</v>
      </c>
      <c r="B141" s="389">
        <v>1066</v>
      </c>
      <c r="C141" s="389">
        <v>1588</v>
      </c>
      <c r="D141" s="389">
        <v>1877</v>
      </c>
      <c r="E141" s="389">
        <v>2097</v>
      </c>
      <c r="F141" s="388">
        <v>2307</v>
      </c>
      <c r="G141" s="388">
        <v>2507</v>
      </c>
    </row>
    <row r="142" spans="1:7" x14ac:dyDescent="0.25">
      <c r="A142" s="388">
        <v>7700</v>
      </c>
      <c r="B142" s="389">
        <v>1070</v>
      </c>
      <c r="C142" s="389">
        <v>1593</v>
      </c>
      <c r="D142" s="389">
        <v>1882</v>
      </c>
      <c r="E142" s="389">
        <v>2103</v>
      </c>
      <c r="F142" s="388">
        <v>2313</v>
      </c>
      <c r="G142" s="388">
        <v>2514</v>
      </c>
    </row>
    <row r="143" spans="1:7" x14ac:dyDescent="0.25">
      <c r="A143" s="388">
        <v>7750</v>
      </c>
      <c r="B143" s="389">
        <v>1073</v>
      </c>
      <c r="C143" s="389">
        <v>1598</v>
      </c>
      <c r="D143" s="389">
        <v>1887</v>
      </c>
      <c r="E143" s="389">
        <v>2108</v>
      </c>
      <c r="F143" s="388">
        <v>2319</v>
      </c>
      <c r="G143" s="388">
        <v>2521</v>
      </c>
    </row>
    <row r="144" spans="1:7" x14ac:dyDescent="0.25">
      <c r="A144" s="388">
        <v>7800</v>
      </c>
      <c r="B144" s="389">
        <v>1077</v>
      </c>
      <c r="C144" s="389">
        <v>1602</v>
      </c>
      <c r="D144" s="389">
        <v>1892</v>
      </c>
      <c r="E144" s="389">
        <v>2113</v>
      </c>
      <c r="F144" s="388">
        <v>2325</v>
      </c>
      <c r="G144" s="388">
        <v>2527</v>
      </c>
    </row>
    <row r="145" spans="1:7" x14ac:dyDescent="0.25">
      <c r="A145" s="388">
        <v>7850</v>
      </c>
      <c r="B145" s="389">
        <v>1081</v>
      </c>
      <c r="C145" s="389">
        <v>1607</v>
      </c>
      <c r="D145" s="389">
        <v>1897</v>
      </c>
      <c r="E145" s="389">
        <v>2119</v>
      </c>
      <c r="F145" s="388">
        <v>2331</v>
      </c>
      <c r="G145" s="388">
        <v>2534</v>
      </c>
    </row>
    <row r="146" spans="1:7" x14ac:dyDescent="0.25">
      <c r="A146" s="388">
        <v>7900</v>
      </c>
      <c r="B146" s="389">
        <v>1084</v>
      </c>
      <c r="C146" s="389">
        <v>1612</v>
      </c>
      <c r="D146" s="389">
        <v>1902</v>
      </c>
      <c r="E146" s="389">
        <v>2124</v>
      </c>
      <c r="F146" s="388">
        <v>2337</v>
      </c>
      <c r="G146" s="388">
        <v>2540</v>
      </c>
    </row>
    <row r="147" spans="1:7" x14ac:dyDescent="0.25">
      <c r="A147" s="388">
        <v>7950</v>
      </c>
      <c r="B147" s="389">
        <v>1088</v>
      </c>
      <c r="C147" s="389">
        <v>1617</v>
      </c>
      <c r="D147" s="389">
        <v>1907</v>
      </c>
      <c r="E147" s="389">
        <v>2130</v>
      </c>
      <c r="F147" s="388">
        <v>2343</v>
      </c>
      <c r="G147" s="388">
        <v>2547</v>
      </c>
    </row>
    <row r="148" spans="1:7" x14ac:dyDescent="0.25">
      <c r="A148" s="388">
        <v>8000</v>
      </c>
      <c r="B148" s="389">
        <v>1092</v>
      </c>
      <c r="C148" s="389">
        <v>1622</v>
      </c>
      <c r="D148" s="389">
        <v>1912</v>
      </c>
      <c r="E148" s="389">
        <v>2135</v>
      </c>
      <c r="F148" s="388">
        <v>2349</v>
      </c>
      <c r="G148" s="388">
        <v>2553</v>
      </c>
    </row>
    <row r="149" spans="1:7" x14ac:dyDescent="0.25">
      <c r="A149" s="388">
        <v>8050</v>
      </c>
      <c r="B149" s="389">
        <v>1095</v>
      </c>
      <c r="C149" s="389">
        <v>1627</v>
      </c>
      <c r="D149" s="389">
        <v>1917</v>
      </c>
      <c r="E149" s="389">
        <v>2141</v>
      </c>
      <c r="F149" s="388">
        <v>2355</v>
      </c>
      <c r="G149" s="388">
        <v>2560</v>
      </c>
    </row>
    <row r="150" spans="1:7" x14ac:dyDescent="0.25">
      <c r="A150" s="388">
        <v>8100</v>
      </c>
      <c r="B150" s="389">
        <v>1099</v>
      </c>
      <c r="C150" s="389">
        <v>1631</v>
      </c>
      <c r="D150" s="389">
        <v>1921</v>
      </c>
      <c r="E150" s="389">
        <v>2146</v>
      </c>
      <c r="F150" s="388">
        <v>2361</v>
      </c>
      <c r="G150" s="388">
        <v>2566</v>
      </c>
    </row>
    <row r="151" spans="1:7" x14ac:dyDescent="0.25">
      <c r="A151" s="388">
        <v>8150</v>
      </c>
      <c r="B151" s="389">
        <v>1103</v>
      </c>
      <c r="C151" s="389">
        <v>1636</v>
      </c>
      <c r="D151" s="389">
        <v>1926</v>
      </c>
      <c r="E151" s="389">
        <v>2152</v>
      </c>
      <c r="F151" s="388">
        <v>2367</v>
      </c>
      <c r="G151" s="388">
        <v>2573</v>
      </c>
    </row>
    <row r="152" spans="1:7" x14ac:dyDescent="0.25">
      <c r="A152" s="388">
        <v>8200</v>
      </c>
      <c r="B152" s="389">
        <v>1106</v>
      </c>
      <c r="C152" s="389">
        <v>1641</v>
      </c>
      <c r="D152" s="389">
        <v>1931</v>
      </c>
      <c r="E152" s="389">
        <v>2157</v>
      </c>
      <c r="F152" s="388">
        <v>2373</v>
      </c>
      <c r="G152" s="388">
        <v>2579</v>
      </c>
    </row>
    <row r="153" spans="1:7" x14ac:dyDescent="0.25">
      <c r="A153" s="388">
        <v>8250</v>
      </c>
      <c r="B153" s="389">
        <v>1110</v>
      </c>
      <c r="C153" s="389">
        <v>1646</v>
      </c>
      <c r="D153" s="389">
        <v>1936</v>
      </c>
      <c r="E153" s="389">
        <v>2162</v>
      </c>
      <c r="F153" s="388">
        <v>2379</v>
      </c>
      <c r="G153" s="388">
        <v>2586</v>
      </c>
    </row>
    <row r="154" spans="1:7" x14ac:dyDescent="0.25">
      <c r="A154" s="388">
        <v>8300</v>
      </c>
      <c r="B154" s="389">
        <v>1114</v>
      </c>
      <c r="C154" s="389">
        <v>1652</v>
      </c>
      <c r="D154" s="389">
        <v>1942</v>
      </c>
      <c r="E154" s="389">
        <v>2170</v>
      </c>
      <c r="F154" s="388">
        <v>2387</v>
      </c>
      <c r="G154" s="388">
        <v>2594</v>
      </c>
    </row>
    <row r="155" spans="1:7" x14ac:dyDescent="0.25">
      <c r="A155" s="388">
        <v>8350</v>
      </c>
      <c r="B155" s="389">
        <v>1120</v>
      </c>
      <c r="C155" s="389">
        <v>1659</v>
      </c>
      <c r="D155" s="389">
        <v>1951</v>
      </c>
      <c r="E155" s="389">
        <v>2179</v>
      </c>
      <c r="F155" s="388">
        <v>2397</v>
      </c>
      <c r="G155" s="388">
        <v>2605</v>
      </c>
    </row>
    <row r="156" spans="1:7" x14ac:dyDescent="0.25">
      <c r="A156" s="388">
        <v>8400</v>
      </c>
      <c r="B156" s="389">
        <v>1125</v>
      </c>
      <c r="C156" s="389">
        <v>1667</v>
      </c>
      <c r="D156" s="389">
        <v>1959</v>
      </c>
      <c r="E156" s="389">
        <v>2188</v>
      </c>
      <c r="F156" s="388">
        <v>2407</v>
      </c>
      <c r="G156" s="388">
        <v>2616</v>
      </c>
    </row>
    <row r="157" spans="1:7" x14ac:dyDescent="0.25">
      <c r="A157" s="388">
        <v>8450</v>
      </c>
      <c r="B157" s="389">
        <v>1130</v>
      </c>
      <c r="C157" s="389">
        <v>1674</v>
      </c>
      <c r="D157" s="389">
        <v>1967</v>
      </c>
      <c r="E157" s="389">
        <v>2197</v>
      </c>
      <c r="F157" s="388">
        <v>2417</v>
      </c>
      <c r="G157" s="388">
        <v>2627</v>
      </c>
    </row>
    <row r="158" spans="1:7" x14ac:dyDescent="0.25">
      <c r="A158" s="388">
        <v>8500</v>
      </c>
      <c r="B158" s="389">
        <v>1135</v>
      </c>
      <c r="C158" s="389">
        <v>1681</v>
      </c>
      <c r="D158" s="389">
        <v>1975</v>
      </c>
      <c r="E158" s="389">
        <v>2206</v>
      </c>
      <c r="F158" s="388">
        <v>2427</v>
      </c>
      <c r="G158" s="388">
        <v>2638</v>
      </c>
    </row>
    <row r="159" spans="1:7" x14ac:dyDescent="0.25">
      <c r="A159" s="388">
        <v>8550</v>
      </c>
      <c r="B159" s="389">
        <v>1141</v>
      </c>
      <c r="C159" s="389">
        <v>1689</v>
      </c>
      <c r="D159" s="389">
        <v>1984</v>
      </c>
      <c r="E159" s="389">
        <v>2216</v>
      </c>
      <c r="F159" s="388">
        <v>2437</v>
      </c>
      <c r="G159" s="388">
        <v>2649</v>
      </c>
    </row>
    <row r="160" spans="1:7" x14ac:dyDescent="0.25">
      <c r="A160" s="388">
        <v>8600</v>
      </c>
      <c r="B160" s="389">
        <v>1146</v>
      </c>
      <c r="C160" s="389">
        <v>1696</v>
      </c>
      <c r="D160" s="389">
        <v>1992</v>
      </c>
      <c r="E160" s="389">
        <v>2225</v>
      </c>
      <c r="F160" s="388">
        <v>2447</v>
      </c>
      <c r="G160" s="388">
        <v>2660</v>
      </c>
    </row>
    <row r="161" spans="1:7" x14ac:dyDescent="0.25">
      <c r="A161" s="388">
        <v>8650</v>
      </c>
      <c r="B161" s="389">
        <v>1151</v>
      </c>
      <c r="C161" s="389">
        <v>1704</v>
      </c>
      <c r="D161" s="389">
        <v>2000</v>
      </c>
      <c r="E161" s="389">
        <v>2234</v>
      </c>
      <c r="F161" s="388">
        <v>2457</v>
      </c>
      <c r="G161" s="388">
        <v>2671</v>
      </c>
    </row>
    <row r="162" spans="1:7" x14ac:dyDescent="0.25">
      <c r="A162" s="388">
        <v>8700</v>
      </c>
      <c r="B162" s="389">
        <v>1157</v>
      </c>
      <c r="C162" s="389">
        <v>1711</v>
      </c>
      <c r="D162" s="389">
        <v>2008</v>
      </c>
      <c r="E162" s="389">
        <v>2243</v>
      </c>
      <c r="F162" s="388">
        <v>2468</v>
      </c>
      <c r="G162" s="388">
        <v>2682</v>
      </c>
    </row>
    <row r="163" spans="1:7" x14ac:dyDescent="0.25">
      <c r="A163" s="388">
        <v>8750</v>
      </c>
      <c r="B163" s="389">
        <v>1162</v>
      </c>
      <c r="C163" s="389">
        <v>1719</v>
      </c>
      <c r="D163" s="389">
        <v>2017</v>
      </c>
      <c r="E163" s="389">
        <v>2252</v>
      </c>
      <c r="F163" s="388">
        <v>2478</v>
      </c>
      <c r="G163" s="388">
        <v>2693</v>
      </c>
    </row>
    <row r="164" spans="1:7" x14ac:dyDescent="0.25">
      <c r="A164" s="388">
        <v>8800</v>
      </c>
      <c r="B164" s="389">
        <v>1167</v>
      </c>
      <c r="C164" s="389">
        <v>1726</v>
      </c>
      <c r="D164" s="389">
        <v>2025</v>
      </c>
      <c r="E164" s="389">
        <v>2262</v>
      </c>
      <c r="F164" s="388">
        <v>2488</v>
      </c>
      <c r="G164" s="388">
        <v>2704</v>
      </c>
    </row>
    <row r="165" spans="1:7" x14ac:dyDescent="0.25">
      <c r="A165" s="388">
        <v>8850</v>
      </c>
      <c r="B165" s="389">
        <v>1173</v>
      </c>
      <c r="C165" s="389">
        <v>1734</v>
      </c>
      <c r="D165" s="389">
        <v>2033</v>
      </c>
      <c r="E165" s="389">
        <v>2271</v>
      </c>
      <c r="F165" s="388">
        <v>2498</v>
      </c>
      <c r="G165" s="388">
        <v>2715</v>
      </c>
    </row>
    <row r="166" spans="1:7" x14ac:dyDescent="0.25">
      <c r="A166" s="388">
        <v>8900</v>
      </c>
      <c r="B166" s="389">
        <v>1178</v>
      </c>
      <c r="C166" s="389">
        <v>1741</v>
      </c>
      <c r="D166" s="389">
        <v>2041</v>
      </c>
      <c r="E166" s="389">
        <v>2280</v>
      </c>
      <c r="F166" s="388">
        <v>2508</v>
      </c>
      <c r="G166" s="388">
        <v>2726</v>
      </c>
    </row>
    <row r="167" spans="1:7" x14ac:dyDescent="0.25">
      <c r="A167" s="388">
        <v>8950</v>
      </c>
      <c r="B167" s="389">
        <v>1183</v>
      </c>
      <c r="C167" s="389">
        <v>1748</v>
      </c>
      <c r="D167" s="389">
        <v>2050</v>
      </c>
      <c r="E167" s="389">
        <v>2289</v>
      </c>
      <c r="F167" s="388">
        <v>2518</v>
      </c>
      <c r="G167" s="388">
        <v>2737</v>
      </c>
    </row>
    <row r="168" spans="1:7" x14ac:dyDescent="0.25">
      <c r="A168" s="388">
        <v>9000</v>
      </c>
      <c r="B168" s="389">
        <v>1188</v>
      </c>
      <c r="C168" s="389">
        <v>1756</v>
      </c>
      <c r="D168" s="389">
        <v>2058</v>
      </c>
      <c r="E168" s="389">
        <v>2299</v>
      </c>
      <c r="F168" s="388">
        <v>2528</v>
      </c>
      <c r="G168" s="388">
        <v>2748</v>
      </c>
    </row>
    <row r="169" spans="1:7" x14ac:dyDescent="0.25">
      <c r="A169" s="388">
        <v>9050</v>
      </c>
      <c r="B169" s="389">
        <v>1194</v>
      </c>
      <c r="C169" s="389">
        <v>1763</v>
      </c>
      <c r="D169" s="389">
        <v>2066</v>
      </c>
      <c r="E169" s="389">
        <v>2308</v>
      </c>
      <c r="F169" s="388">
        <v>2539</v>
      </c>
      <c r="G169" s="388">
        <v>2759</v>
      </c>
    </row>
    <row r="170" spans="1:7" x14ac:dyDescent="0.25">
      <c r="A170" s="388">
        <v>9100</v>
      </c>
      <c r="B170" s="389">
        <v>1199</v>
      </c>
      <c r="C170" s="389">
        <v>1771</v>
      </c>
      <c r="D170" s="389">
        <v>2074</v>
      </c>
      <c r="E170" s="389">
        <v>2317</v>
      </c>
      <c r="F170" s="388">
        <v>2549</v>
      </c>
      <c r="G170" s="388">
        <v>2770</v>
      </c>
    </row>
    <row r="171" spans="1:7" x14ac:dyDescent="0.25">
      <c r="A171" s="388">
        <v>9150</v>
      </c>
      <c r="B171" s="389">
        <v>1204</v>
      </c>
      <c r="C171" s="389">
        <v>1778</v>
      </c>
      <c r="D171" s="389">
        <v>2083</v>
      </c>
      <c r="E171" s="389">
        <v>2326</v>
      </c>
      <c r="F171" s="388">
        <v>2559</v>
      </c>
      <c r="G171" s="388">
        <v>2781</v>
      </c>
    </row>
    <row r="172" spans="1:7" x14ac:dyDescent="0.25">
      <c r="A172" s="388">
        <v>9200</v>
      </c>
      <c r="B172" s="389">
        <v>1210</v>
      </c>
      <c r="C172" s="389">
        <v>1786</v>
      </c>
      <c r="D172" s="389">
        <v>2091</v>
      </c>
      <c r="E172" s="389">
        <v>2335</v>
      </c>
      <c r="F172" s="388">
        <v>2569</v>
      </c>
      <c r="G172" s="388">
        <v>2792</v>
      </c>
    </row>
    <row r="173" spans="1:7" x14ac:dyDescent="0.25">
      <c r="A173" s="388">
        <v>9250</v>
      </c>
      <c r="B173" s="389">
        <v>1215</v>
      </c>
      <c r="C173" s="389">
        <v>1793</v>
      </c>
      <c r="D173" s="389">
        <v>2099</v>
      </c>
      <c r="E173" s="389">
        <v>2345</v>
      </c>
      <c r="F173" s="388">
        <v>2579</v>
      </c>
      <c r="G173" s="388">
        <v>2803</v>
      </c>
    </row>
    <row r="174" spans="1:7" x14ac:dyDescent="0.25">
      <c r="A174" s="388">
        <v>9300</v>
      </c>
      <c r="B174" s="389">
        <v>1219</v>
      </c>
      <c r="C174" s="389">
        <v>1800</v>
      </c>
      <c r="D174" s="389">
        <v>2107</v>
      </c>
      <c r="E174" s="389">
        <v>2354</v>
      </c>
      <c r="F174" s="388">
        <v>2589</v>
      </c>
      <c r="G174" s="388">
        <v>2814</v>
      </c>
    </row>
    <row r="175" spans="1:7" x14ac:dyDescent="0.25">
      <c r="A175" s="388">
        <v>9350</v>
      </c>
      <c r="B175" s="389">
        <v>1223</v>
      </c>
      <c r="C175" s="389">
        <v>1806</v>
      </c>
      <c r="D175" s="389">
        <v>2116</v>
      </c>
      <c r="E175" s="389">
        <v>2363</v>
      </c>
      <c r="F175" s="388">
        <v>2599</v>
      </c>
      <c r="G175" s="388">
        <v>2826</v>
      </c>
    </row>
    <row r="176" spans="1:7" x14ac:dyDescent="0.25">
      <c r="A176" s="388">
        <v>9400</v>
      </c>
      <c r="B176" s="389">
        <v>1227</v>
      </c>
      <c r="C176" s="389">
        <v>1813</v>
      </c>
      <c r="D176" s="389">
        <v>2124</v>
      </c>
      <c r="E176" s="389">
        <v>2372</v>
      </c>
      <c r="F176" s="388">
        <v>2610</v>
      </c>
      <c r="G176" s="388">
        <v>2837</v>
      </c>
    </row>
    <row r="177" spans="1:7" x14ac:dyDescent="0.25">
      <c r="A177" s="388">
        <v>9450</v>
      </c>
      <c r="B177" s="389">
        <v>1231</v>
      </c>
      <c r="C177" s="389">
        <v>1819</v>
      </c>
      <c r="D177" s="389">
        <v>2132</v>
      </c>
      <c r="E177" s="389">
        <v>2382</v>
      </c>
      <c r="F177" s="388">
        <v>2620</v>
      </c>
      <c r="G177" s="388">
        <v>2848</v>
      </c>
    </row>
    <row r="178" spans="1:7" x14ac:dyDescent="0.25">
      <c r="A178" s="388">
        <v>9500</v>
      </c>
      <c r="B178" s="389">
        <v>1235</v>
      </c>
      <c r="C178" s="389">
        <v>1825</v>
      </c>
      <c r="D178" s="389">
        <v>2141</v>
      </c>
      <c r="E178" s="389">
        <v>2391</v>
      </c>
      <c r="F178" s="388">
        <v>2630</v>
      </c>
      <c r="G178" s="388">
        <v>2859</v>
      </c>
    </row>
    <row r="179" spans="1:7" x14ac:dyDescent="0.25">
      <c r="A179" s="388">
        <v>9550</v>
      </c>
      <c r="B179" s="389">
        <v>1239</v>
      </c>
      <c r="C179" s="389">
        <v>1832</v>
      </c>
      <c r="D179" s="389">
        <v>2149</v>
      </c>
      <c r="E179" s="389">
        <v>2400</v>
      </c>
      <c r="F179" s="388">
        <v>2640</v>
      </c>
      <c r="G179" s="388">
        <v>2870</v>
      </c>
    </row>
    <row r="180" spans="1:7" x14ac:dyDescent="0.25">
      <c r="A180" s="388">
        <v>9600</v>
      </c>
      <c r="B180" s="389">
        <v>1243</v>
      </c>
      <c r="C180" s="389">
        <v>1838</v>
      </c>
      <c r="D180" s="389">
        <v>2157</v>
      </c>
      <c r="E180" s="389">
        <v>2410</v>
      </c>
      <c r="F180" s="388">
        <v>2650</v>
      </c>
      <c r="G180" s="388">
        <v>2881</v>
      </c>
    </row>
    <row r="181" spans="1:7" x14ac:dyDescent="0.25">
      <c r="A181" s="388">
        <v>9650</v>
      </c>
      <c r="B181" s="389">
        <v>1246</v>
      </c>
      <c r="C181" s="389">
        <v>1845</v>
      </c>
      <c r="D181" s="389">
        <v>2165</v>
      </c>
      <c r="E181" s="389">
        <v>2419</v>
      </c>
      <c r="F181" s="388">
        <v>2661</v>
      </c>
      <c r="G181" s="388">
        <v>2892</v>
      </c>
    </row>
    <row r="182" spans="1:7" x14ac:dyDescent="0.25">
      <c r="A182" s="388">
        <v>9700</v>
      </c>
      <c r="B182" s="389">
        <v>1250</v>
      </c>
      <c r="C182" s="389">
        <v>1851</v>
      </c>
      <c r="D182" s="389">
        <v>2174</v>
      </c>
      <c r="E182" s="389">
        <v>2428</v>
      </c>
      <c r="F182" s="388">
        <v>2671</v>
      </c>
      <c r="G182" s="388">
        <v>2903</v>
      </c>
    </row>
    <row r="183" spans="1:7" x14ac:dyDescent="0.25">
      <c r="A183" s="388">
        <v>9750</v>
      </c>
      <c r="B183" s="389">
        <v>1254</v>
      </c>
      <c r="C183" s="389">
        <v>1857</v>
      </c>
      <c r="D183" s="389">
        <v>2182</v>
      </c>
      <c r="E183" s="389">
        <v>2437</v>
      </c>
      <c r="F183" s="388">
        <v>2681</v>
      </c>
      <c r="G183" s="388">
        <v>2914</v>
      </c>
    </row>
    <row r="184" spans="1:7" x14ac:dyDescent="0.25">
      <c r="A184" s="388">
        <v>9800</v>
      </c>
      <c r="B184" s="389">
        <v>1258</v>
      </c>
      <c r="C184" s="389">
        <v>1864</v>
      </c>
      <c r="D184" s="389">
        <v>2190</v>
      </c>
      <c r="E184" s="389">
        <v>2447</v>
      </c>
      <c r="F184" s="388">
        <v>2691</v>
      </c>
      <c r="G184" s="388">
        <v>2925</v>
      </c>
    </row>
    <row r="185" spans="1:7" x14ac:dyDescent="0.25">
      <c r="A185" s="388">
        <v>9850</v>
      </c>
      <c r="B185" s="389">
        <v>1262</v>
      </c>
      <c r="C185" s="389">
        <v>1870</v>
      </c>
      <c r="D185" s="389">
        <v>2199</v>
      </c>
      <c r="E185" s="389">
        <v>2456</v>
      </c>
      <c r="F185" s="388">
        <v>2701</v>
      </c>
      <c r="G185" s="388">
        <v>2937</v>
      </c>
    </row>
    <row r="186" spans="1:7" x14ac:dyDescent="0.25">
      <c r="A186" s="388">
        <v>9900</v>
      </c>
      <c r="B186" s="389">
        <v>1266</v>
      </c>
      <c r="C186" s="389">
        <v>1876</v>
      </c>
      <c r="D186" s="389">
        <v>2207</v>
      </c>
      <c r="E186" s="389">
        <v>2465</v>
      </c>
      <c r="F186" s="388">
        <v>2712</v>
      </c>
      <c r="G186" s="388">
        <v>2948</v>
      </c>
    </row>
    <row r="187" spans="1:7" x14ac:dyDescent="0.25">
      <c r="A187" s="388">
        <v>9950</v>
      </c>
      <c r="B187" s="389">
        <v>1270</v>
      </c>
      <c r="C187" s="389">
        <v>1883</v>
      </c>
      <c r="D187" s="389">
        <v>2215</v>
      </c>
      <c r="E187" s="389">
        <v>2474</v>
      </c>
      <c r="F187" s="388">
        <v>2722</v>
      </c>
      <c r="G187" s="388">
        <v>2959</v>
      </c>
    </row>
    <row r="188" spans="1:7" x14ac:dyDescent="0.25">
      <c r="A188" s="388">
        <v>10000</v>
      </c>
      <c r="B188" s="389">
        <v>1274</v>
      </c>
      <c r="C188" s="389">
        <v>1889</v>
      </c>
      <c r="D188" s="389">
        <v>2224</v>
      </c>
      <c r="E188" s="389">
        <v>2484</v>
      </c>
      <c r="F188" s="388">
        <v>2732</v>
      </c>
      <c r="G188" s="388">
        <v>2970</v>
      </c>
    </row>
    <row r="189" spans="1:7" x14ac:dyDescent="0.25">
      <c r="A189" s="388">
        <v>10050</v>
      </c>
      <c r="B189" s="389">
        <v>1277</v>
      </c>
      <c r="C189" s="389">
        <v>1896</v>
      </c>
      <c r="D189" s="389">
        <v>2232</v>
      </c>
      <c r="E189" s="389">
        <v>2493</v>
      </c>
      <c r="F189" s="388">
        <v>2742</v>
      </c>
      <c r="G189" s="388">
        <v>2981</v>
      </c>
    </row>
    <row r="190" spans="1:7" x14ac:dyDescent="0.25">
      <c r="A190" s="388">
        <v>10100</v>
      </c>
      <c r="B190" s="389">
        <v>1281</v>
      </c>
      <c r="C190" s="389">
        <v>1902</v>
      </c>
      <c r="D190" s="389">
        <v>2240</v>
      </c>
      <c r="E190" s="389">
        <v>2502</v>
      </c>
      <c r="F190" s="388">
        <v>2753</v>
      </c>
      <c r="G190" s="388">
        <v>2992</v>
      </c>
    </row>
    <row r="191" spans="1:7" x14ac:dyDescent="0.25">
      <c r="A191" s="388">
        <v>10150</v>
      </c>
      <c r="B191" s="389">
        <v>1285</v>
      </c>
      <c r="C191" s="389">
        <v>1908</v>
      </c>
      <c r="D191" s="389">
        <v>2248</v>
      </c>
      <c r="E191" s="389">
        <v>2512</v>
      </c>
      <c r="F191" s="388">
        <v>2763</v>
      </c>
      <c r="G191" s="388">
        <v>3003</v>
      </c>
    </row>
    <row r="192" spans="1:7" x14ac:dyDescent="0.25">
      <c r="A192" s="388">
        <v>10200</v>
      </c>
      <c r="B192" s="389">
        <v>1289</v>
      </c>
      <c r="C192" s="389">
        <v>1915</v>
      </c>
      <c r="D192" s="389">
        <v>2257</v>
      </c>
      <c r="E192" s="389">
        <v>2521</v>
      </c>
      <c r="F192" s="388">
        <v>2773</v>
      </c>
      <c r="G192" s="388">
        <v>3014</v>
      </c>
    </row>
    <row r="193" spans="1:7" x14ac:dyDescent="0.25">
      <c r="A193" s="388">
        <v>10250</v>
      </c>
      <c r="B193" s="389">
        <v>1293</v>
      </c>
      <c r="C193" s="389">
        <v>1921</v>
      </c>
      <c r="D193" s="389">
        <v>2265</v>
      </c>
      <c r="E193" s="389">
        <v>2530</v>
      </c>
      <c r="F193" s="388">
        <v>2783</v>
      </c>
      <c r="G193" s="388">
        <v>3025</v>
      </c>
    </row>
    <row r="194" spans="1:7" x14ac:dyDescent="0.25">
      <c r="A194" s="388">
        <v>10300</v>
      </c>
      <c r="B194" s="389">
        <v>1296</v>
      </c>
      <c r="C194" s="389">
        <v>1926</v>
      </c>
      <c r="D194" s="389">
        <v>2270</v>
      </c>
      <c r="E194" s="389">
        <v>2536</v>
      </c>
      <c r="F194" s="388">
        <v>2789</v>
      </c>
      <c r="G194" s="388">
        <v>3032</v>
      </c>
    </row>
    <row r="195" spans="1:7" x14ac:dyDescent="0.25">
      <c r="A195" s="388">
        <v>10350</v>
      </c>
      <c r="B195" s="389">
        <v>1299</v>
      </c>
      <c r="C195" s="389">
        <v>1930</v>
      </c>
      <c r="D195" s="389">
        <v>2275</v>
      </c>
      <c r="E195" s="389">
        <v>2541</v>
      </c>
      <c r="F195" s="388">
        <v>2795</v>
      </c>
      <c r="G195" s="388">
        <v>3038</v>
      </c>
    </row>
    <row r="196" spans="1:7" x14ac:dyDescent="0.25">
      <c r="A196" s="388">
        <v>10400</v>
      </c>
      <c r="B196" s="389">
        <v>1302</v>
      </c>
      <c r="C196" s="389">
        <v>1934</v>
      </c>
      <c r="D196" s="389">
        <v>2279</v>
      </c>
      <c r="E196" s="389">
        <v>2546</v>
      </c>
      <c r="F196" s="388">
        <v>2800</v>
      </c>
      <c r="G196" s="388">
        <v>3044</v>
      </c>
    </row>
    <row r="197" spans="1:7" x14ac:dyDescent="0.25">
      <c r="A197" s="388">
        <v>10450</v>
      </c>
      <c r="B197" s="389">
        <v>1305</v>
      </c>
      <c r="C197" s="389">
        <v>1938</v>
      </c>
      <c r="D197" s="389">
        <v>2284</v>
      </c>
      <c r="E197" s="389">
        <v>2551</v>
      </c>
      <c r="F197" s="388">
        <v>2806</v>
      </c>
      <c r="G197" s="388">
        <v>3050</v>
      </c>
    </row>
    <row r="198" spans="1:7" x14ac:dyDescent="0.25">
      <c r="A198" s="388">
        <v>10500</v>
      </c>
      <c r="B198" s="389">
        <v>1308</v>
      </c>
      <c r="C198" s="389">
        <v>1942</v>
      </c>
      <c r="D198" s="389">
        <v>2288</v>
      </c>
      <c r="E198" s="389">
        <v>2556</v>
      </c>
      <c r="F198" s="388">
        <v>2812</v>
      </c>
      <c r="G198" s="388">
        <v>3056</v>
      </c>
    </row>
    <row r="199" spans="1:7" x14ac:dyDescent="0.25">
      <c r="A199" s="388">
        <v>10550</v>
      </c>
      <c r="B199" s="389">
        <v>1311</v>
      </c>
      <c r="C199" s="389">
        <v>1947</v>
      </c>
      <c r="D199" s="389">
        <v>2293</v>
      </c>
      <c r="E199" s="389">
        <v>2561</v>
      </c>
      <c r="F199" s="388">
        <v>2817</v>
      </c>
      <c r="G199" s="388">
        <v>3063</v>
      </c>
    </row>
    <row r="200" spans="1:7" x14ac:dyDescent="0.25">
      <c r="A200" s="388">
        <v>10600</v>
      </c>
      <c r="B200" s="389">
        <v>1314</v>
      </c>
      <c r="C200" s="389">
        <v>1951</v>
      </c>
      <c r="D200" s="389">
        <v>2298</v>
      </c>
      <c r="E200" s="389">
        <v>2566</v>
      </c>
      <c r="F200" s="388">
        <v>2823</v>
      </c>
      <c r="G200" s="388">
        <v>3069</v>
      </c>
    </row>
    <row r="201" spans="1:7" x14ac:dyDescent="0.25">
      <c r="A201" s="388">
        <v>10650</v>
      </c>
      <c r="B201" s="389">
        <v>1317</v>
      </c>
      <c r="C201" s="389">
        <v>1955</v>
      </c>
      <c r="D201" s="389">
        <v>2302</v>
      </c>
      <c r="E201" s="389">
        <v>2572</v>
      </c>
      <c r="F201" s="388">
        <v>2829</v>
      </c>
      <c r="G201" s="388">
        <v>3075</v>
      </c>
    </row>
    <row r="202" spans="1:7" x14ac:dyDescent="0.25">
      <c r="A202" s="388">
        <v>10700</v>
      </c>
      <c r="B202" s="389">
        <v>1320</v>
      </c>
      <c r="C202" s="389">
        <v>1959</v>
      </c>
      <c r="D202" s="389">
        <v>2307</v>
      </c>
      <c r="E202" s="389">
        <v>2577</v>
      </c>
      <c r="F202" s="388">
        <v>2834</v>
      </c>
      <c r="G202" s="388">
        <v>3081</v>
      </c>
    </row>
    <row r="203" spans="1:7" x14ac:dyDescent="0.25">
      <c r="A203" s="388">
        <v>10750</v>
      </c>
      <c r="B203" s="389">
        <v>1323</v>
      </c>
      <c r="C203" s="389">
        <v>1963</v>
      </c>
      <c r="D203" s="389">
        <v>2312</v>
      </c>
      <c r="E203" s="389">
        <v>2582</v>
      </c>
      <c r="F203" s="388">
        <v>2840</v>
      </c>
      <c r="G203" s="388">
        <v>3087</v>
      </c>
    </row>
    <row r="204" spans="1:7" x14ac:dyDescent="0.25">
      <c r="A204" s="388">
        <v>10800</v>
      </c>
      <c r="B204" s="389">
        <v>1326</v>
      </c>
      <c r="C204" s="389">
        <v>1968</v>
      </c>
      <c r="D204" s="389">
        <v>2316</v>
      </c>
      <c r="E204" s="389">
        <v>2587</v>
      </c>
      <c r="F204" s="388">
        <v>2846</v>
      </c>
      <c r="G204" s="388">
        <v>3093</v>
      </c>
    </row>
    <row r="205" spans="1:7" x14ac:dyDescent="0.25">
      <c r="A205" s="388">
        <v>10850</v>
      </c>
      <c r="B205" s="389">
        <v>1329</v>
      </c>
      <c r="C205" s="389">
        <v>1972</v>
      </c>
      <c r="D205" s="389">
        <v>2321</v>
      </c>
      <c r="E205" s="389">
        <v>2592</v>
      </c>
      <c r="F205" s="388">
        <v>2851</v>
      </c>
      <c r="G205" s="388">
        <v>3100</v>
      </c>
    </row>
    <row r="206" spans="1:7" x14ac:dyDescent="0.25">
      <c r="A206" s="388">
        <v>10900</v>
      </c>
      <c r="B206" s="389">
        <v>1332</v>
      </c>
      <c r="C206" s="389">
        <v>1976</v>
      </c>
      <c r="D206" s="389">
        <v>2325</v>
      </c>
      <c r="E206" s="389">
        <v>2597</v>
      </c>
      <c r="F206" s="388">
        <v>2857</v>
      </c>
      <c r="G206" s="388">
        <v>3106</v>
      </c>
    </row>
    <row r="207" spans="1:7" x14ac:dyDescent="0.25">
      <c r="A207" s="388">
        <v>10950</v>
      </c>
      <c r="B207" s="389">
        <v>1335</v>
      </c>
      <c r="C207" s="389">
        <v>1980</v>
      </c>
      <c r="D207" s="389">
        <v>2330</v>
      </c>
      <c r="E207" s="389">
        <v>2603</v>
      </c>
      <c r="F207" s="388">
        <v>2863</v>
      </c>
      <c r="G207" s="388">
        <v>3112</v>
      </c>
    </row>
    <row r="208" spans="1:7" x14ac:dyDescent="0.25">
      <c r="A208" s="388">
        <v>11000</v>
      </c>
      <c r="B208" s="389">
        <v>1338</v>
      </c>
      <c r="C208" s="389">
        <v>1984</v>
      </c>
      <c r="D208" s="389">
        <v>2335</v>
      </c>
      <c r="E208" s="389">
        <v>2608</v>
      </c>
      <c r="F208" s="388">
        <v>2868</v>
      </c>
      <c r="G208" s="388">
        <v>3118</v>
      </c>
    </row>
    <row r="209" spans="1:7" x14ac:dyDescent="0.25">
      <c r="A209" s="388">
        <v>11050</v>
      </c>
      <c r="B209" s="389">
        <v>1341</v>
      </c>
      <c r="C209" s="389">
        <v>1989</v>
      </c>
      <c r="D209" s="389">
        <v>2339</v>
      </c>
      <c r="E209" s="389">
        <v>2613</v>
      </c>
      <c r="F209" s="388">
        <v>2874</v>
      </c>
      <c r="G209" s="388">
        <v>3124</v>
      </c>
    </row>
    <row r="210" spans="1:7" x14ac:dyDescent="0.25">
      <c r="A210" s="388">
        <v>11100</v>
      </c>
      <c r="B210" s="389">
        <v>1344</v>
      </c>
      <c r="C210" s="389">
        <v>1993</v>
      </c>
      <c r="D210" s="389">
        <v>2344</v>
      </c>
      <c r="E210" s="389">
        <v>2618</v>
      </c>
      <c r="F210" s="388">
        <v>2880</v>
      </c>
      <c r="G210" s="388">
        <v>3130</v>
      </c>
    </row>
    <row r="211" spans="1:7" x14ac:dyDescent="0.25">
      <c r="A211" s="388">
        <v>11150</v>
      </c>
      <c r="B211" s="389">
        <v>1347</v>
      </c>
      <c r="C211" s="389">
        <v>1997</v>
      </c>
      <c r="D211" s="389">
        <v>2348</v>
      </c>
      <c r="E211" s="389">
        <v>2623</v>
      </c>
      <c r="F211" s="388">
        <v>2885</v>
      </c>
      <c r="G211" s="388">
        <v>3137</v>
      </c>
    </row>
    <row r="212" spans="1:7" x14ac:dyDescent="0.25">
      <c r="A212" s="388">
        <v>11200</v>
      </c>
      <c r="B212" s="389">
        <v>1350</v>
      </c>
      <c r="C212" s="389">
        <v>2001</v>
      </c>
      <c r="D212" s="389">
        <v>2353</v>
      </c>
      <c r="E212" s="389">
        <v>2628</v>
      </c>
      <c r="F212" s="388">
        <v>2891</v>
      </c>
      <c r="G212" s="388">
        <v>3143</v>
      </c>
    </row>
    <row r="213" spans="1:7" x14ac:dyDescent="0.25">
      <c r="A213" s="388">
        <v>11250</v>
      </c>
      <c r="B213" s="389">
        <v>1354</v>
      </c>
      <c r="C213" s="389">
        <v>2006</v>
      </c>
      <c r="D213" s="389">
        <v>2358</v>
      </c>
      <c r="E213" s="389">
        <v>2634</v>
      </c>
      <c r="F213" s="388">
        <v>2897</v>
      </c>
      <c r="G213" s="388">
        <v>3149</v>
      </c>
    </row>
    <row r="214" spans="1:7" x14ac:dyDescent="0.25">
      <c r="A214" s="388">
        <v>11300</v>
      </c>
      <c r="B214" s="389">
        <v>1357</v>
      </c>
      <c r="C214" s="389">
        <v>2011</v>
      </c>
      <c r="D214" s="389">
        <v>2363</v>
      </c>
      <c r="E214" s="389">
        <v>2640</v>
      </c>
      <c r="F214" s="388">
        <v>2903</v>
      </c>
      <c r="G214" s="388">
        <v>3156</v>
      </c>
    </row>
    <row r="215" spans="1:7" x14ac:dyDescent="0.25">
      <c r="A215" s="388">
        <v>11350</v>
      </c>
      <c r="B215" s="389">
        <v>1361</v>
      </c>
      <c r="C215" s="389">
        <v>2016</v>
      </c>
      <c r="D215" s="389">
        <v>2368</v>
      </c>
      <c r="E215" s="389">
        <v>2645</v>
      </c>
      <c r="F215" s="388">
        <v>2910</v>
      </c>
      <c r="G215" s="388">
        <v>3163</v>
      </c>
    </row>
    <row r="216" spans="1:7" x14ac:dyDescent="0.25">
      <c r="A216" s="388">
        <v>11400</v>
      </c>
      <c r="B216" s="389">
        <v>1365</v>
      </c>
      <c r="C216" s="389">
        <v>2021</v>
      </c>
      <c r="D216" s="389">
        <v>2374</v>
      </c>
      <c r="E216" s="389">
        <v>2651</v>
      </c>
      <c r="F216" s="388">
        <v>2917</v>
      </c>
      <c r="G216" s="388">
        <v>3170</v>
      </c>
    </row>
    <row r="217" spans="1:7" x14ac:dyDescent="0.25">
      <c r="A217" s="388">
        <v>11450</v>
      </c>
      <c r="B217" s="389">
        <v>1369</v>
      </c>
      <c r="C217" s="389">
        <v>2026</v>
      </c>
      <c r="D217" s="389">
        <v>2379</v>
      </c>
      <c r="E217" s="389">
        <v>2657</v>
      </c>
      <c r="F217" s="388">
        <v>2923</v>
      </c>
      <c r="G217" s="388">
        <v>3177</v>
      </c>
    </row>
    <row r="218" spans="1:7" x14ac:dyDescent="0.25">
      <c r="A218" s="388">
        <v>11500</v>
      </c>
      <c r="B218" s="389">
        <v>1373</v>
      </c>
      <c r="C218" s="389">
        <v>2032</v>
      </c>
      <c r="D218" s="389">
        <v>2385</v>
      </c>
      <c r="E218" s="389">
        <v>2664</v>
      </c>
      <c r="F218" s="388">
        <v>2930</v>
      </c>
      <c r="G218" s="388">
        <v>3185</v>
      </c>
    </row>
    <row r="219" spans="1:7" x14ac:dyDescent="0.25">
      <c r="A219" s="388">
        <v>11550</v>
      </c>
      <c r="B219" s="389">
        <v>1378</v>
      </c>
      <c r="C219" s="389">
        <v>2037</v>
      </c>
      <c r="D219" s="389">
        <v>2390</v>
      </c>
      <c r="E219" s="389">
        <v>2670</v>
      </c>
      <c r="F219" s="388">
        <v>2937</v>
      </c>
      <c r="G219" s="388">
        <v>3193</v>
      </c>
    </row>
    <row r="220" spans="1:7" x14ac:dyDescent="0.25">
      <c r="A220" s="388">
        <v>11600</v>
      </c>
      <c r="B220" s="389">
        <v>1382</v>
      </c>
      <c r="C220" s="389">
        <v>2043</v>
      </c>
      <c r="D220" s="389">
        <v>2396</v>
      </c>
      <c r="E220" s="389">
        <v>2677</v>
      </c>
      <c r="F220" s="388">
        <v>2944</v>
      </c>
      <c r="G220" s="388">
        <v>3200</v>
      </c>
    </row>
    <row r="221" spans="1:7" x14ac:dyDescent="0.25">
      <c r="A221" s="388">
        <v>11650</v>
      </c>
      <c r="B221" s="389">
        <v>1386</v>
      </c>
      <c r="C221" s="389">
        <v>2049</v>
      </c>
      <c r="D221" s="389">
        <v>2402</v>
      </c>
      <c r="E221" s="389">
        <v>2683</v>
      </c>
      <c r="F221" s="388">
        <v>2951</v>
      </c>
      <c r="G221" s="388">
        <v>3208</v>
      </c>
    </row>
    <row r="222" spans="1:7" x14ac:dyDescent="0.25">
      <c r="A222" s="388">
        <v>11700</v>
      </c>
      <c r="B222" s="389">
        <v>1390</v>
      </c>
      <c r="C222" s="389">
        <v>2054</v>
      </c>
      <c r="D222" s="389">
        <v>2408</v>
      </c>
      <c r="E222" s="389">
        <v>2690</v>
      </c>
      <c r="F222" s="388">
        <v>2959</v>
      </c>
      <c r="G222" s="388">
        <v>3216</v>
      </c>
    </row>
    <row r="223" spans="1:7" x14ac:dyDescent="0.25">
      <c r="A223" s="388">
        <v>11750</v>
      </c>
      <c r="B223" s="389">
        <v>1395</v>
      </c>
      <c r="C223" s="389">
        <v>2060</v>
      </c>
      <c r="D223" s="389">
        <v>2414</v>
      </c>
      <c r="E223" s="389">
        <v>2696</v>
      </c>
      <c r="F223" s="388">
        <v>2966</v>
      </c>
      <c r="G223" s="388">
        <v>3224</v>
      </c>
    </row>
    <row r="224" spans="1:7" x14ac:dyDescent="0.25">
      <c r="A224" s="388">
        <v>11800</v>
      </c>
      <c r="B224" s="389">
        <v>1399</v>
      </c>
      <c r="C224" s="389">
        <v>2066</v>
      </c>
      <c r="D224" s="389">
        <v>2420</v>
      </c>
      <c r="E224" s="389">
        <v>2703</v>
      </c>
      <c r="F224" s="388">
        <v>2973</v>
      </c>
      <c r="G224" s="388">
        <v>3232</v>
      </c>
    </row>
    <row r="225" spans="1:7" x14ac:dyDescent="0.25">
      <c r="A225" s="388">
        <v>11850</v>
      </c>
      <c r="B225" s="389">
        <v>1403</v>
      </c>
      <c r="C225" s="389">
        <v>2071</v>
      </c>
      <c r="D225" s="389">
        <v>2425</v>
      </c>
      <c r="E225" s="389">
        <v>2709</v>
      </c>
      <c r="F225" s="388">
        <v>2980</v>
      </c>
      <c r="G225" s="388">
        <v>3239</v>
      </c>
    </row>
    <row r="226" spans="1:7" x14ac:dyDescent="0.25">
      <c r="A226" s="388">
        <v>11900</v>
      </c>
      <c r="B226" s="389">
        <v>1407</v>
      </c>
      <c r="C226" s="389">
        <v>2077</v>
      </c>
      <c r="D226" s="389">
        <v>2431</v>
      </c>
      <c r="E226" s="389">
        <v>2716</v>
      </c>
      <c r="F226" s="388">
        <v>2987</v>
      </c>
      <c r="G226" s="388">
        <v>3247</v>
      </c>
    </row>
    <row r="227" spans="1:7" x14ac:dyDescent="0.25">
      <c r="A227" s="388">
        <v>11950</v>
      </c>
      <c r="B227" s="389">
        <v>1412</v>
      </c>
      <c r="C227" s="389">
        <v>2083</v>
      </c>
      <c r="D227" s="389">
        <v>2437</v>
      </c>
      <c r="E227" s="389">
        <v>2722</v>
      </c>
      <c r="F227" s="388">
        <v>2995</v>
      </c>
      <c r="G227" s="388">
        <v>3255</v>
      </c>
    </row>
    <row r="228" spans="1:7" x14ac:dyDescent="0.25">
      <c r="A228" s="388">
        <v>12000</v>
      </c>
      <c r="B228" s="389">
        <v>1416</v>
      </c>
      <c r="C228" s="389">
        <v>2088</v>
      </c>
      <c r="D228" s="389">
        <v>2443</v>
      </c>
      <c r="E228" s="389">
        <v>2729</v>
      </c>
      <c r="F228" s="388">
        <v>3002</v>
      </c>
      <c r="G228" s="388">
        <v>3263</v>
      </c>
    </row>
    <row r="229" spans="1:7" x14ac:dyDescent="0.25">
      <c r="A229" s="388">
        <v>12050</v>
      </c>
      <c r="B229" s="389">
        <v>1420</v>
      </c>
      <c r="C229" s="389">
        <v>2094</v>
      </c>
      <c r="D229" s="389">
        <v>2449</v>
      </c>
      <c r="E229" s="389">
        <v>2735</v>
      </c>
      <c r="F229" s="388">
        <v>3009</v>
      </c>
      <c r="G229" s="388">
        <v>3271</v>
      </c>
    </row>
    <row r="230" spans="1:7" x14ac:dyDescent="0.25">
      <c r="A230" s="388">
        <v>12100</v>
      </c>
      <c r="B230" s="389">
        <v>1425</v>
      </c>
      <c r="C230" s="389">
        <v>2100</v>
      </c>
      <c r="D230" s="389">
        <v>2455</v>
      </c>
      <c r="E230" s="389">
        <v>2742</v>
      </c>
      <c r="F230" s="388">
        <v>3016</v>
      </c>
      <c r="G230" s="388">
        <v>3278</v>
      </c>
    </row>
    <row r="231" spans="1:7" x14ac:dyDescent="0.25">
      <c r="A231" s="388">
        <v>12150</v>
      </c>
      <c r="B231" s="389">
        <v>1429</v>
      </c>
      <c r="C231" s="389">
        <v>2105</v>
      </c>
      <c r="D231" s="389">
        <v>2461</v>
      </c>
      <c r="E231" s="389">
        <v>2748</v>
      </c>
      <c r="F231" s="388">
        <v>3023</v>
      </c>
      <c r="G231" s="388">
        <v>3286</v>
      </c>
    </row>
    <row r="232" spans="1:7" x14ac:dyDescent="0.25">
      <c r="A232" s="388">
        <v>12200</v>
      </c>
      <c r="B232" s="389">
        <v>1433</v>
      </c>
      <c r="C232" s="389">
        <v>2111</v>
      </c>
      <c r="D232" s="389">
        <v>2466</v>
      </c>
      <c r="E232" s="389">
        <v>2755</v>
      </c>
      <c r="F232" s="388">
        <v>3030</v>
      </c>
      <c r="G232" s="388">
        <v>3294</v>
      </c>
    </row>
    <row r="233" spans="1:7" x14ac:dyDescent="0.25">
      <c r="A233" s="388">
        <v>12250</v>
      </c>
      <c r="B233" s="389">
        <v>1437</v>
      </c>
      <c r="C233" s="389">
        <v>2117</v>
      </c>
      <c r="D233" s="389">
        <v>2472</v>
      </c>
      <c r="E233" s="389">
        <v>2761</v>
      </c>
      <c r="F233" s="388">
        <v>3038</v>
      </c>
      <c r="G233" s="388">
        <v>3302</v>
      </c>
    </row>
    <row r="234" spans="1:7" x14ac:dyDescent="0.25">
      <c r="A234" s="388">
        <v>12300</v>
      </c>
      <c r="B234" s="389">
        <v>1442</v>
      </c>
      <c r="C234" s="389">
        <v>2122</v>
      </c>
      <c r="D234" s="389">
        <v>2478</v>
      </c>
      <c r="E234" s="389">
        <v>2768</v>
      </c>
      <c r="F234" s="388">
        <v>3045</v>
      </c>
      <c r="G234" s="388">
        <v>3310</v>
      </c>
    </row>
    <row r="235" spans="1:7" x14ac:dyDescent="0.25">
      <c r="A235" s="388">
        <v>12350</v>
      </c>
      <c r="B235" s="389">
        <v>1446</v>
      </c>
      <c r="C235" s="389">
        <v>2128</v>
      </c>
      <c r="D235" s="389">
        <v>2484</v>
      </c>
      <c r="E235" s="389">
        <v>2774</v>
      </c>
      <c r="F235" s="388">
        <v>3052</v>
      </c>
      <c r="G235" s="388">
        <v>3317</v>
      </c>
    </row>
    <row r="236" spans="1:7" x14ac:dyDescent="0.25">
      <c r="A236" s="388">
        <v>12400</v>
      </c>
      <c r="B236" s="389">
        <v>1450</v>
      </c>
      <c r="C236" s="389">
        <v>2134</v>
      </c>
      <c r="D236" s="389">
        <v>2490</v>
      </c>
      <c r="E236" s="389">
        <v>2781</v>
      </c>
      <c r="F236" s="388">
        <v>3059</v>
      </c>
      <c r="G236" s="388">
        <v>3325</v>
      </c>
    </row>
    <row r="237" spans="1:7" x14ac:dyDescent="0.25">
      <c r="A237" s="388">
        <v>12450</v>
      </c>
      <c r="B237" s="389">
        <v>1454</v>
      </c>
      <c r="C237" s="389">
        <v>2139</v>
      </c>
      <c r="D237" s="389">
        <v>2496</v>
      </c>
      <c r="E237" s="389">
        <v>2788</v>
      </c>
      <c r="F237" s="388">
        <v>3066</v>
      </c>
      <c r="G237" s="388">
        <v>3333</v>
      </c>
    </row>
    <row r="238" spans="1:7" x14ac:dyDescent="0.25">
      <c r="A238" s="388">
        <v>12500</v>
      </c>
      <c r="B238" s="389">
        <v>1458</v>
      </c>
      <c r="C238" s="389">
        <v>2144</v>
      </c>
      <c r="D238" s="389">
        <v>2500</v>
      </c>
      <c r="E238" s="389">
        <v>2792</v>
      </c>
      <c r="F238" s="388">
        <v>3071</v>
      </c>
      <c r="G238" s="388">
        <v>3339</v>
      </c>
    </row>
    <row r="239" spans="1:7" x14ac:dyDescent="0.25">
      <c r="A239" s="388">
        <v>12550</v>
      </c>
      <c r="B239" s="389">
        <v>1460</v>
      </c>
      <c r="C239" s="389">
        <v>2147</v>
      </c>
      <c r="D239" s="389">
        <v>2503</v>
      </c>
      <c r="E239" s="389">
        <v>2796</v>
      </c>
      <c r="F239" s="388">
        <v>3075</v>
      </c>
      <c r="G239" s="388">
        <v>3343</v>
      </c>
    </row>
    <row r="240" spans="1:7" x14ac:dyDescent="0.25">
      <c r="A240" s="388">
        <v>12600</v>
      </c>
      <c r="B240" s="389">
        <v>1463</v>
      </c>
      <c r="C240" s="389">
        <v>2150</v>
      </c>
      <c r="D240" s="389">
        <v>2506</v>
      </c>
      <c r="E240" s="389">
        <v>2799</v>
      </c>
      <c r="F240" s="388">
        <v>3079</v>
      </c>
      <c r="G240" s="388">
        <v>3347</v>
      </c>
    </row>
    <row r="241" spans="1:7" x14ac:dyDescent="0.25">
      <c r="A241" s="388">
        <v>12650</v>
      </c>
      <c r="B241" s="389">
        <v>1466</v>
      </c>
      <c r="C241" s="389">
        <v>2154</v>
      </c>
      <c r="D241" s="389">
        <v>2509</v>
      </c>
      <c r="E241" s="389">
        <v>2803</v>
      </c>
      <c r="F241" s="388">
        <v>3083</v>
      </c>
      <c r="G241" s="388">
        <v>3352</v>
      </c>
    </row>
    <row r="242" spans="1:7" x14ac:dyDescent="0.25">
      <c r="A242" s="388">
        <v>12700</v>
      </c>
      <c r="B242" s="389">
        <v>1468</v>
      </c>
      <c r="C242" s="389">
        <v>2157</v>
      </c>
      <c r="D242" s="389">
        <v>2513</v>
      </c>
      <c r="E242" s="389">
        <v>2807</v>
      </c>
      <c r="F242" s="388">
        <v>3087</v>
      </c>
      <c r="G242" s="388">
        <v>3356</v>
      </c>
    </row>
    <row r="243" spans="1:7" x14ac:dyDescent="0.25">
      <c r="A243" s="388">
        <v>12750</v>
      </c>
      <c r="B243" s="389">
        <v>1471</v>
      </c>
      <c r="C243" s="389">
        <v>2161</v>
      </c>
      <c r="D243" s="389">
        <v>2516</v>
      </c>
      <c r="E243" s="389">
        <v>2810</v>
      </c>
      <c r="F243" s="388">
        <v>3091</v>
      </c>
      <c r="G243" s="388">
        <v>3360</v>
      </c>
    </row>
    <row r="244" spans="1:7" x14ac:dyDescent="0.25">
      <c r="A244" s="388">
        <v>12800</v>
      </c>
      <c r="B244" s="389">
        <v>1474</v>
      </c>
      <c r="C244" s="389">
        <v>2164</v>
      </c>
      <c r="D244" s="389">
        <v>2519</v>
      </c>
      <c r="E244" s="389">
        <v>2814</v>
      </c>
      <c r="F244" s="388">
        <v>3095</v>
      </c>
      <c r="G244" s="388">
        <v>3365</v>
      </c>
    </row>
    <row r="245" spans="1:7" x14ac:dyDescent="0.25">
      <c r="A245" s="388">
        <v>12850</v>
      </c>
      <c r="B245" s="389">
        <v>1477</v>
      </c>
      <c r="C245" s="389">
        <v>2167</v>
      </c>
      <c r="D245" s="389">
        <v>2522</v>
      </c>
      <c r="E245" s="389">
        <v>2818</v>
      </c>
      <c r="F245" s="388">
        <v>3099</v>
      </c>
      <c r="G245" s="388">
        <v>3369</v>
      </c>
    </row>
    <row r="246" spans="1:7" x14ac:dyDescent="0.25">
      <c r="A246" s="388">
        <v>12900</v>
      </c>
      <c r="B246" s="389">
        <v>1479</v>
      </c>
      <c r="C246" s="389">
        <v>2171</v>
      </c>
      <c r="D246" s="389">
        <v>2526</v>
      </c>
      <c r="E246" s="389">
        <v>2821</v>
      </c>
      <c r="F246" s="388">
        <v>3103</v>
      </c>
      <c r="G246" s="388">
        <v>3373</v>
      </c>
    </row>
    <row r="247" spans="1:7" x14ac:dyDescent="0.25">
      <c r="A247" s="388">
        <v>12950</v>
      </c>
      <c r="B247" s="389">
        <v>1482</v>
      </c>
      <c r="C247" s="389">
        <v>2174</v>
      </c>
      <c r="D247" s="389">
        <v>2529</v>
      </c>
      <c r="E247" s="389">
        <v>2825</v>
      </c>
      <c r="F247" s="388">
        <v>3107</v>
      </c>
      <c r="G247" s="388">
        <v>3378</v>
      </c>
    </row>
    <row r="248" spans="1:7" x14ac:dyDescent="0.25">
      <c r="A248" s="388">
        <v>13000</v>
      </c>
      <c r="B248" s="389">
        <v>1485</v>
      </c>
      <c r="C248" s="389">
        <v>2178</v>
      </c>
      <c r="D248" s="389">
        <v>2532</v>
      </c>
      <c r="E248" s="389">
        <v>2829</v>
      </c>
      <c r="F248" s="388">
        <v>3111</v>
      </c>
      <c r="G248" s="388">
        <v>3382</v>
      </c>
    </row>
    <row r="249" spans="1:7" x14ac:dyDescent="0.25">
      <c r="A249" s="388">
        <v>13050</v>
      </c>
      <c r="B249" s="389">
        <v>1487</v>
      </c>
      <c r="C249" s="389">
        <v>2181</v>
      </c>
      <c r="D249" s="389">
        <v>2536</v>
      </c>
      <c r="E249" s="389">
        <v>2832</v>
      </c>
      <c r="F249" s="388">
        <v>3115</v>
      </c>
      <c r="G249" s="388">
        <v>3386</v>
      </c>
    </row>
    <row r="250" spans="1:7" x14ac:dyDescent="0.25">
      <c r="A250" s="388">
        <v>13100</v>
      </c>
      <c r="B250" s="389">
        <v>1490</v>
      </c>
      <c r="C250" s="389">
        <v>2185</v>
      </c>
      <c r="D250" s="389">
        <v>2539</v>
      </c>
      <c r="E250" s="389">
        <v>2836</v>
      </c>
      <c r="F250" s="388">
        <v>3119</v>
      </c>
      <c r="G250" s="388">
        <v>3391</v>
      </c>
    </row>
    <row r="251" spans="1:7" x14ac:dyDescent="0.25">
      <c r="A251" s="388">
        <v>13150</v>
      </c>
      <c r="B251" s="389">
        <v>1493</v>
      </c>
      <c r="C251" s="389">
        <v>2188</v>
      </c>
      <c r="D251" s="389">
        <v>2542</v>
      </c>
      <c r="E251" s="389">
        <v>2839</v>
      </c>
      <c r="F251" s="388">
        <v>3123</v>
      </c>
      <c r="G251" s="388">
        <v>3395</v>
      </c>
    </row>
    <row r="252" spans="1:7" x14ac:dyDescent="0.25">
      <c r="A252" s="388">
        <v>13200</v>
      </c>
      <c r="B252" s="389">
        <v>1496</v>
      </c>
      <c r="C252" s="389">
        <v>2191</v>
      </c>
      <c r="D252" s="389">
        <v>2545</v>
      </c>
      <c r="E252" s="389">
        <v>2843</v>
      </c>
      <c r="F252" s="388">
        <v>3127</v>
      </c>
      <c r="G252" s="388">
        <v>3400</v>
      </c>
    </row>
    <row r="253" spans="1:7" x14ac:dyDescent="0.25">
      <c r="A253" s="388">
        <v>13250</v>
      </c>
      <c r="B253" s="389">
        <v>1498</v>
      </c>
      <c r="C253" s="389">
        <v>2195</v>
      </c>
      <c r="D253" s="389">
        <v>2549</v>
      </c>
      <c r="E253" s="389">
        <v>2847</v>
      </c>
      <c r="F253" s="388">
        <v>3131</v>
      </c>
      <c r="G253" s="388">
        <v>3404</v>
      </c>
    </row>
    <row r="254" spans="1:7" x14ac:dyDescent="0.25">
      <c r="A254" s="388">
        <v>13300</v>
      </c>
      <c r="B254" s="389">
        <v>1501</v>
      </c>
      <c r="C254" s="389">
        <v>2198</v>
      </c>
      <c r="D254" s="389">
        <v>2552</v>
      </c>
      <c r="E254" s="389">
        <v>2850</v>
      </c>
      <c r="F254" s="388">
        <v>3135</v>
      </c>
      <c r="G254" s="388">
        <v>3408</v>
      </c>
    </row>
    <row r="255" spans="1:7" x14ac:dyDescent="0.25">
      <c r="A255" s="388">
        <v>13350</v>
      </c>
      <c r="B255" s="389">
        <v>1504</v>
      </c>
      <c r="C255" s="389">
        <v>2202</v>
      </c>
      <c r="D255" s="389">
        <v>2555</v>
      </c>
      <c r="E255" s="389">
        <v>2854</v>
      </c>
      <c r="F255" s="388">
        <v>3139</v>
      </c>
      <c r="G255" s="388">
        <v>3413</v>
      </c>
    </row>
    <row r="256" spans="1:7" x14ac:dyDescent="0.25">
      <c r="A256" s="388">
        <v>13400</v>
      </c>
      <c r="B256" s="389">
        <v>1506</v>
      </c>
      <c r="C256" s="389">
        <v>2205</v>
      </c>
      <c r="D256" s="389">
        <v>2558</v>
      </c>
      <c r="E256" s="389">
        <v>2858</v>
      </c>
      <c r="F256" s="388">
        <v>3143</v>
      </c>
      <c r="G256" s="388">
        <v>3417</v>
      </c>
    </row>
    <row r="257" spans="1:7" x14ac:dyDescent="0.25">
      <c r="A257" s="388">
        <v>13450</v>
      </c>
      <c r="B257" s="389">
        <v>1509</v>
      </c>
      <c r="C257" s="389">
        <v>2208</v>
      </c>
      <c r="D257" s="389">
        <v>2562</v>
      </c>
      <c r="E257" s="389">
        <v>2861</v>
      </c>
      <c r="F257" s="388">
        <v>3147</v>
      </c>
      <c r="G257" s="388">
        <v>3421</v>
      </c>
    </row>
    <row r="258" spans="1:7" x14ac:dyDescent="0.25">
      <c r="A258" s="388">
        <v>13500</v>
      </c>
      <c r="B258" s="389">
        <v>1512</v>
      </c>
      <c r="C258" s="389">
        <v>2212</v>
      </c>
      <c r="D258" s="389">
        <v>2565</v>
      </c>
      <c r="E258" s="389">
        <v>2865</v>
      </c>
      <c r="F258" s="388">
        <v>3151</v>
      </c>
      <c r="G258" s="388">
        <v>3426</v>
      </c>
    </row>
    <row r="259" spans="1:7" x14ac:dyDescent="0.25">
      <c r="A259" s="388">
        <v>13550</v>
      </c>
      <c r="B259" s="389">
        <v>1515</v>
      </c>
      <c r="C259" s="389">
        <v>2215</v>
      </c>
      <c r="D259" s="389">
        <v>2568</v>
      </c>
      <c r="E259" s="389">
        <v>2869</v>
      </c>
      <c r="F259" s="388">
        <v>3155</v>
      </c>
      <c r="G259" s="388">
        <v>3430</v>
      </c>
    </row>
    <row r="260" spans="1:7" x14ac:dyDescent="0.25">
      <c r="A260" s="388">
        <v>13600</v>
      </c>
      <c r="B260" s="389">
        <v>1517</v>
      </c>
      <c r="C260" s="389">
        <v>2219</v>
      </c>
      <c r="D260" s="389">
        <v>2571</v>
      </c>
      <c r="E260" s="389">
        <v>2872</v>
      </c>
      <c r="F260" s="388">
        <v>3160</v>
      </c>
      <c r="G260" s="388">
        <v>3434</v>
      </c>
    </row>
    <row r="261" spans="1:7" x14ac:dyDescent="0.25">
      <c r="A261" s="388">
        <v>13650</v>
      </c>
      <c r="B261" s="389">
        <v>1520</v>
      </c>
      <c r="C261" s="389">
        <v>2222</v>
      </c>
      <c r="D261" s="389">
        <v>2575</v>
      </c>
      <c r="E261" s="389">
        <v>2876</v>
      </c>
      <c r="F261" s="388">
        <v>3164</v>
      </c>
      <c r="G261" s="388">
        <v>3439</v>
      </c>
    </row>
    <row r="262" spans="1:7" x14ac:dyDescent="0.25">
      <c r="A262" s="388">
        <v>13700</v>
      </c>
      <c r="B262" s="389">
        <v>1524</v>
      </c>
      <c r="C262" s="389">
        <v>2228</v>
      </c>
      <c r="D262" s="389">
        <v>2581</v>
      </c>
      <c r="E262" s="389">
        <v>2883</v>
      </c>
      <c r="F262" s="388">
        <v>3172</v>
      </c>
      <c r="G262" s="388">
        <v>3448</v>
      </c>
    </row>
    <row r="263" spans="1:7" x14ac:dyDescent="0.25">
      <c r="A263" s="388">
        <v>13750</v>
      </c>
      <c r="B263" s="389">
        <v>1529</v>
      </c>
      <c r="C263" s="389">
        <v>2236</v>
      </c>
      <c r="D263" s="389">
        <v>2590</v>
      </c>
      <c r="E263" s="389">
        <v>2893</v>
      </c>
      <c r="F263" s="388">
        <v>3183</v>
      </c>
      <c r="G263" s="388">
        <v>3459</v>
      </c>
    </row>
    <row r="264" spans="1:7" x14ac:dyDescent="0.25">
      <c r="A264" s="388">
        <v>13800</v>
      </c>
      <c r="B264" s="389">
        <v>1534</v>
      </c>
      <c r="C264" s="389">
        <v>2243</v>
      </c>
      <c r="D264" s="389">
        <v>2599</v>
      </c>
      <c r="E264" s="389">
        <v>2903</v>
      </c>
      <c r="F264" s="388">
        <v>3193</v>
      </c>
      <c r="G264" s="388">
        <v>3471</v>
      </c>
    </row>
    <row r="265" spans="1:7" x14ac:dyDescent="0.25">
      <c r="A265" s="388">
        <v>13850</v>
      </c>
      <c r="B265" s="389">
        <v>1539</v>
      </c>
      <c r="C265" s="389">
        <v>2250</v>
      </c>
      <c r="D265" s="389">
        <v>2608</v>
      </c>
      <c r="E265" s="389">
        <v>2913</v>
      </c>
      <c r="F265" s="388">
        <v>3204</v>
      </c>
      <c r="G265" s="388">
        <v>3483</v>
      </c>
    </row>
    <row r="266" spans="1:7" x14ac:dyDescent="0.25">
      <c r="A266" s="388">
        <v>13900</v>
      </c>
      <c r="B266" s="389">
        <v>1544</v>
      </c>
      <c r="C266" s="389">
        <v>2258</v>
      </c>
      <c r="D266" s="389">
        <v>2616</v>
      </c>
      <c r="E266" s="389">
        <v>2923</v>
      </c>
      <c r="F266" s="388">
        <v>3215</v>
      </c>
      <c r="G266" s="388">
        <v>3495</v>
      </c>
    </row>
    <row r="267" spans="1:7" x14ac:dyDescent="0.25">
      <c r="A267" s="388">
        <v>13950</v>
      </c>
      <c r="B267" s="389">
        <v>1549</v>
      </c>
      <c r="C267" s="389">
        <v>2265</v>
      </c>
      <c r="D267" s="389">
        <v>2625</v>
      </c>
      <c r="E267" s="389">
        <v>2932</v>
      </c>
      <c r="F267" s="388">
        <v>3226</v>
      </c>
      <c r="G267" s="388">
        <v>3506</v>
      </c>
    </row>
    <row r="268" spans="1:7" x14ac:dyDescent="0.25">
      <c r="A268" s="388">
        <v>14000</v>
      </c>
      <c r="B268" s="389">
        <v>1554</v>
      </c>
      <c r="C268" s="389">
        <v>2273</v>
      </c>
      <c r="D268" s="389">
        <v>2634</v>
      </c>
      <c r="E268" s="389">
        <v>2942</v>
      </c>
      <c r="F268" s="388">
        <v>3236</v>
      </c>
      <c r="G268" s="388">
        <v>3518</v>
      </c>
    </row>
    <row r="269" spans="1:7" x14ac:dyDescent="0.25">
      <c r="A269" s="388">
        <v>14050</v>
      </c>
      <c r="B269" s="389">
        <v>1559</v>
      </c>
      <c r="C269" s="389">
        <v>2280</v>
      </c>
      <c r="D269" s="389">
        <v>2643</v>
      </c>
      <c r="E269" s="389">
        <v>2952</v>
      </c>
      <c r="F269" s="388">
        <v>3247</v>
      </c>
      <c r="G269" s="388">
        <v>3530</v>
      </c>
    </row>
    <row r="270" spans="1:7" x14ac:dyDescent="0.25">
      <c r="A270" s="388">
        <v>14100</v>
      </c>
      <c r="B270" s="389">
        <v>1564</v>
      </c>
      <c r="C270" s="389">
        <v>2288</v>
      </c>
      <c r="D270" s="389">
        <v>2651</v>
      </c>
      <c r="E270" s="389">
        <v>2962</v>
      </c>
      <c r="F270" s="388">
        <v>3258</v>
      </c>
      <c r="G270" s="388">
        <v>3541</v>
      </c>
    </row>
    <row r="271" spans="1:7" x14ac:dyDescent="0.25">
      <c r="A271" s="388">
        <v>14150</v>
      </c>
      <c r="B271" s="389">
        <v>1569</v>
      </c>
      <c r="C271" s="389">
        <v>2295</v>
      </c>
      <c r="D271" s="389">
        <v>2660</v>
      </c>
      <c r="E271" s="389">
        <v>2971</v>
      </c>
      <c r="F271" s="388">
        <v>3268</v>
      </c>
      <c r="G271" s="388">
        <v>3553</v>
      </c>
    </row>
    <row r="272" spans="1:7" x14ac:dyDescent="0.25">
      <c r="A272" s="388">
        <v>14200</v>
      </c>
      <c r="B272" s="389">
        <v>1574</v>
      </c>
      <c r="C272" s="389">
        <v>2302</v>
      </c>
      <c r="D272" s="389">
        <v>2669</v>
      </c>
      <c r="E272" s="389">
        <v>2981</v>
      </c>
      <c r="F272" s="388">
        <v>3279</v>
      </c>
      <c r="G272" s="388">
        <v>3564</v>
      </c>
    </row>
    <row r="273" spans="1:7" x14ac:dyDescent="0.25">
      <c r="A273" s="388">
        <v>14250</v>
      </c>
      <c r="B273" s="389">
        <v>1579</v>
      </c>
      <c r="C273" s="389">
        <v>2310</v>
      </c>
      <c r="D273" s="389">
        <v>2678</v>
      </c>
      <c r="E273" s="389">
        <v>2991</v>
      </c>
      <c r="F273" s="388">
        <v>3290</v>
      </c>
      <c r="G273" s="388">
        <v>3576</v>
      </c>
    </row>
    <row r="274" spans="1:7" x14ac:dyDescent="0.25">
      <c r="A274" s="388">
        <v>14300</v>
      </c>
      <c r="B274" s="389">
        <v>1584</v>
      </c>
      <c r="C274" s="389">
        <v>2317</v>
      </c>
      <c r="D274" s="389">
        <v>2686</v>
      </c>
      <c r="E274" s="389">
        <v>3001</v>
      </c>
      <c r="F274" s="388">
        <v>3301</v>
      </c>
      <c r="G274" s="388">
        <v>3588</v>
      </c>
    </row>
    <row r="275" spans="1:7" x14ac:dyDescent="0.25">
      <c r="A275" s="388">
        <v>14350</v>
      </c>
      <c r="B275" s="389">
        <v>1589</v>
      </c>
      <c r="C275" s="389">
        <v>2325</v>
      </c>
      <c r="D275" s="389">
        <v>2695</v>
      </c>
      <c r="E275" s="389">
        <v>3010</v>
      </c>
      <c r="F275" s="388">
        <v>3311</v>
      </c>
      <c r="G275" s="388">
        <v>3599</v>
      </c>
    </row>
    <row r="276" spans="1:7" x14ac:dyDescent="0.25">
      <c r="A276" s="388">
        <v>14400</v>
      </c>
      <c r="B276" s="389">
        <v>1594</v>
      </c>
      <c r="C276" s="389">
        <v>2332</v>
      </c>
      <c r="D276" s="389">
        <v>2704</v>
      </c>
      <c r="E276" s="389">
        <v>3020</v>
      </c>
      <c r="F276" s="388">
        <v>3322</v>
      </c>
      <c r="G276" s="388">
        <v>3611</v>
      </c>
    </row>
    <row r="277" spans="1:7" x14ac:dyDescent="0.25">
      <c r="A277" s="388">
        <v>14450</v>
      </c>
      <c r="B277" s="389">
        <v>1599</v>
      </c>
      <c r="C277" s="389">
        <v>2339</v>
      </c>
      <c r="D277" s="389">
        <v>2712</v>
      </c>
      <c r="E277" s="389">
        <v>3030</v>
      </c>
      <c r="F277" s="388">
        <v>3333</v>
      </c>
      <c r="G277" s="388">
        <v>3623</v>
      </c>
    </row>
    <row r="278" spans="1:7" x14ac:dyDescent="0.25">
      <c r="A278" s="388">
        <v>14500</v>
      </c>
      <c r="B278" s="389">
        <v>1604</v>
      </c>
      <c r="C278" s="389">
        <v>2347</v>
      </c>
      <c r="D278" s="389">
        <v>2721</v>
      </c>
      <c r="E278" s="389">
        <v>3040</v>
      </c>
      <c r="F278" s="388">
        <v>3343</v>
      </c>
      <c r="G278" s="388">
        <v>3634</v>
      </c>
    </row>
    <row r="279" spans="1:7" x14ac:dyDescent="0.25">
      <c r="A279" s="388">
        <v>14550</v>
      </c>
      <c r="B279" s="389">
        <v>1609</v>
      </c>
      <c r="C279" s="389">
        <v>2354</v>
      </c>
      <c r="D279" s="389">
        <v>2730</v>
      </c>
      <c r="E279" s="389">
        <v>3049</v>
      </c>
      <c r="F279" s="388">
        <v>3354</v>
      </c>
      <c r="G279" s="388">
        <v>3646</v>
      </c>
    </row>
    <row r="280" spans="1:7" x14ac:dyDescent="0.25">
      <c r="A280" s="388">
        <v>14600</v>
      </c>
      <c r="B280" s="389">
        <v>1614</v>
      </c>
      <c r="C280" s="389">
        <v>2362</v>
      </c>
      <c r="D280" s="389">
        <v>2739</v>
      </c>
      <c r="E280" s="389">
        <v>3059</v>
      </c>
      <c r="F280" s="388">
        <v>3365</v>
      </c>
      <c r="G280" s="388">
        <v>3658</v>
      </c>
    </row>
    <row r="281" spans="1:7" x14ac:dyDescent="0.25">
      <c r="A281" s="388">
        <v>14650</v>
      </c>
      <c r="B281" s="389">
        <v>1619</v>
      </c>
      <c r="C281" s="389">
        <v>2369</v>
      </c>
      <c r="D281" s="389">
        <v>2747</v>
      </c>
      <c r="E281" s="389">
        <v>3069</v>
      </c>
      <c r="F281" s="388">
        <v>3375</v>
      </c>
      <c r="G281" s="388">
        <v>3669</v>
      </c>
    </row>
    <row r="282" spans="1:7" x14ac:dyDescent="0.25">
      <c r="A282" s="388">
        <v>14700</v>
      </c>
      <c r="B282" s="389">
        <v>1624</v>
      </c>
      <c r="C282" s="389">
        <v>2375</v>
      </c>
      <c r="D282" s="389">
        <v>2755</v>
      </c>
      <c r="E282" s="389">
        <v>3077</v>
      </c>
      <c r="F282" s="388">
        <v>3385</v>
      </c>
      <c r="G282" s="388">
        <v>3679</v>
      </c>
    </row>
    <row r="283" spans="1:7" x14ac:dyDescent="0.25">
      <c r="A283" s="388">
        <v>14750</v>
      </c>
      <c r="B283" s="389">
        <v>1628</v>
      </c>
      <c r="C283" s="389">
        <v>2382</v>
      </c>
      <c r="D283" s="389">
        <v>2763</v>
      </c>
      <c r="E283" s="389">
        <v>3086</v>
      </c>
      <c r="F283" s="388">
        <v>3394</v>
      </c>
      <c r="G283" s="388">
        <v>3690</v>
      </c>
    </row>
    <row r="284" spans="1:7" x14ac:dyDescent="0.25">
      <c r="A284" s="388">
        <v>14800</v>
      </c>
      <c r="B284" s="389">
        <v>1632</v>
      </c>
      <c r="C284" s="389">
        <v>2389</v>
      </c>
      <c r="D284" s="389">
        <v>2770</v>
      </c>
      <c r="E284" s="389">
        <v>3094</v>
      </c>
      <c r="F284" s="388">
        <v>3404</v>
      </c>
      <c r="G284" s="388">
        <v>3700</v>
      </c>
    </row>
    <row r="285" spans="1:7" x14ac:dyDescent="0.25">
      <c r="A285" s="388">
        <v>14850</v>
      </c>
      <c r="B285" s="389">
        <v>1637</v>
      </c>
      <c r="C285" s="389">
        <v>2395</v>
      </c>
      <c r="D285" s="389">
        <v>2778</v>
      </c>
      <c r="E285" s="389">
        <v>3103</v>
      </c>
      <c r="F285" s="388">
        <v>3413</v>
      </c>
      <c r="G285" s="388">
        <v>3710</v>
      </c>
    </row>
    <row r="286" spans="1:7" x14ac:dyDescent="0.25">
      <c r="A286" s="388">
        <v>14900</v>
      </c>
      <c r="B286" s="389">
        <v>1641</v>
      </c>
      <c r="C286" s="389">
        <v>2402</v>
      </c>
      <c r="D286" s="389">
        <v>2786</v>
      </c>
      <c r="E286" s="389">
        <v>3112</v>
      </c>
      <c r="F286" s="388">
        <v>3423</v>
      </c>
      <c r="G286" s="388">
        <v>3721</v>
      </c>
    </row>
    <row r="287" spans="1:7" x14ac:dyDescent="0.25">
      <c r="A287" s="388">
        <v>14950</v>
      </c>
      <c r="B287" s="389">
        <v>1646</v>
      </c>
      <c r="C287" s="389">
        <v>2408</v>
      </c>
      <c r="D287" s="389">
        <v>2793</v>
      </c>
      <c r="E287" s="389">
        <v>3120</v>
      </c>
      <c r="F287" s="388">
        <v>3432</v>
      </c>
      <c r="G287" s="388">
        <v>3731</v>
      </c>
    </row>
    <row r="288" spans="1:7" x14ac:dyDescent="0.25">
      <c r="A288" s="388">
        <v>15000</v>
      </c>
      <c r="B288" s="389">
        <v>1650</v>
      </c>
      <c r="C288" s="389">
        <v>2415</v>
      </c>
      <c r="D288" s="389">
        <v>2801</v>
      </c>
      <c r="E288" s="389">
        <v>3129</v>
      </c>
      <c r="F288" s="388">
        <v>3442</v>
      </c>
      <c r="G288" s="388">
        <v>3741</v>
      </c>
    </row>
    <row r="289" spans="1:7" x14ac:dyDescent="0.25">
      <c r="A289" s="388">
        <v>15050</v>
      </c>
      <c r="B289" s="389">
        <v>1655</v>
      </c>
      <c r="C289" s="389">
        <v>2421</v>
      </c>
      <c r="D289" s="389">
        <v>2809</v>
      </c>
      <c r="E289" s="389">
        <v>3138</v>
      </c>
      <c r="F289" s="388">
        <v>3451</v>
      </c>
      <c r="G289" s="388">
        <v>3752</v>
      </c>
    </row>
    <row r="290" spans="1:7" x14ac:dyDescent="0.25">
      <c r="A290" s="388">
        <v>15100</v>
      </c>
      <c r="B290" s="389">
        <v>1659</v>
      </c>
      <c r="C290" s="389">
        <v>2428</v>
      </c>
      <c r="D290" s="389">
        <v>2817</v>
      </c>
      <c r="E290" s="389">
        <v>3146</v>
      </c>
      <c r="F290" s="388">
        <v>3461</v>
      </c>
      <c r="G290" s="388">
        <v>3762</v>
      </c>
    </row>
    <row r="291" spans="1:7" x14ac:dyDescent="0.25">
      <c r="A291" s="388">
        <v>15150</v>
      </c>
      <c r="B291" s="389">
        <v>1663</v>
      </c>
      <c r="C291" s="389">
        <v>2434</v>
      </c>
      <c r="D291" s="389">
        <v>2824</v>
      </c>
      <c r="E291" s="389">
        <v>3155</v>
      </c>
      <c r="F291" s="388">
        <v>3470</v>
      </c>
      <c r="G291" s="388">
        <v>3772</v>
      </c>
    </row>
    <row r="292" spans="1:7" x14ac:dyDescent="0.25">
      <c r="A292" s="388">
        <v>15200</v>
      </c>
      <c r="B292" s="389">
        <v>1668</v>
      </c>
      <c r="C292" s="389">
        <v>2441</v>
      </c>
      <c r="D292" s="389">
        <v>2832</v>
      </c>
      <c r="E292" s="389">
        <v>3163</v>
      </c>
      <c r="F292" s="388">
        <v>3480</v>
      </c>
      <c r="G292" s="388">
        <v>3783</v>
      </c>
    </row>
    <row r="293" spans="1:7" x14ac:dyDescent="0.25">
      <c r="A293" s="388">
        <v>15250</v>
      </c>
      <c r="B293" s="389">
        <v>1672</v>
      </c>
      <c r="C293" s="389">
        <v>2448</v>
      </c>
      <c r="D293" s="389">
        <v>2840</v>
      </c>
      <c r="E293" s="389">
        <v>3172</v>
      </c>
      <c r="F293" s="388">
        <v>3489</v>
      </c>
      <c r="G293" s="388">
        <v>3793</v>
      </c>
    </row>
    <row r="294" spans="1:7" x14ac:dyDescent="0.25">
      <c r="A294" s="388">
        <v>15300</v>
      </c>
      <c r="B294" s="389">
        <v>1677</v>
      </c>
      <c r="C294" s="389">
        <v>2454</v>
      </c>
      <c r="D294" s="389">
        <v>2848</v>
      </c>
      <c r="E294" s="389">
        <v>3181</v>
      </c>
      <c r="F294" s="388">
        <v>3499</v>
      </c>
      <c r="G294" s="388">
        <v>3803</v>
      </c>
    </row>
    <row r="295" spans="1:7" x14ac:dyDescent="0.25">
      <c r="A295" s="388">
        <v>15350</v>
      </c>
      <c r="B295" s="389">
        <v>1681</v>
      </c>
      <c r="C295" s="389">
        <v>2461</v>
      </c>
      <c r="D295" s="389">
        <v>2855</v>
      </c>
      <c r="E295" s="389">
        <v>3189</v>
      </c>
      <c r="F295" s="388">
        <v>3508</v>
      </c>
      <c r="G295" s="388">
        <v>3813</v>
      </c>
    </row>
    <row r="296" spans="1:7" x14ac:dyDescent="0.25">
      <c r="A296" s="388">
        <v>15400</v>
      </c>
      <c r="B296" s="389">
        <v>1686</v>
      </c>
      <c r="C296" s="389">
        <v>2467</v>
      </c>
      <c r="D296" s="389">
        <v>2863</v>
      </c>
      <c r="E296" s="389">
        <v>3198</v>
      </c>
      <c r="F296" s="388">
        <v>3518</v>
      </c>
      <c r="G296" s="388">
        <v>3824</v>
      </c>
    </row>
    <row r="297" spans="1:7" x14ac:dyDescent="0.25">
      <c r="A297" s="388">
        <v>15450</v>
      </c>
      <c r="B297" s="389">
        <v>1690</v>
      </c>
      <c r="C297" s="389">
        <v>2474</v>
      </c>
      <c r="D297" s="389">
        <v>2871</v>
      </c>
      <c r="E297" s="389">
        <v>3207</v>
      </c>
      <c r="F297" s="388">
        <v>3527</v>
      </c>
      <c r="G297" s="388">
        <v>3834</v>
      </c>
    </row>
    <row r="298" spans="1:7" x14ac:dyDescent="0.25">
      <c r="A298" s="388">
        <v>15500</v>
      </c>
      <c r="B298" s="389">
        <v>1694</v>
      </c>
      <c r="C298" s="389">
        <v>2480</v>
      </c>
      <c r="D298" s="389">
        <v>2878</v>
      </c>
      <c r="E298" s="389">
        <v>3215</v>
      </c>
      <c r="F298" s="388">
        <v>3537</v>
      </c>
      <c r="G298" s="388">
        <v>3844</v>
      </c>
    </row>
    <row r="299" spans="1:7" x14ac:dyDescent="0.25">
      <c r="A299" s="388">
        <v>15550</v>
      </c>
      <c r="B299" s="389">
        <v>1699</v>
      </c>
      <c r="C299" s="389">
        <v>2487</v>
      </c>
      <c r="D299" s="389">
        <v>2886</v>
      </c>
      <c r="E299" s="389">
        <v>3224</v>
      </c>
      <c r="F299" s="388">
        <v>3546</v>
      </c>
      <c r="G299" s="388">
        <v>3855</v>
      </c>
    </row>
    <row r="300" spans="1:7" x14ac:dyDescent="0.25">
      <c r="A300" s="388">
        <v>15600</v>
      </c>
      <c r="B300" s="389">
        <v>1703</v>
      </c>
      <c r="C300" s="389">
        <v>2493</v>
      </c>
      <c r="D300" s="389">
        <v>2893</v>
      </c>
      <c r="E300" s="389">
        <v>3232</v>
      </c>
      <c r="F300" s="388">
        <v>3555</v>
      </c>
      <c r="G300" s="388">
        <v>3864</v>
      </c>
    </row>
    <row r="301" spans="1:7" x14ac:dyDescent="0.25">
      <c r="A301" s="388">
        <v>15650</v>
      </c>
      <c r="B301" s="389">
        <v>1707</v>
      </c>
      <c r="C301" s="389">
        <v>2498</v>
      </c>
      <c r="D301" s="389">
        <v>2898</v>
      </c>
      <c r="E301" s="389">
        <v>3237</v>
      </c>
      <c r="F301" s="388">
        <v>3561</v>
      </c>
      <c r="G301" s="388">
        <v>3870</v>
      </c>
    </row>
    <row r="302" spans="1:7" x14ac:dyDescent="0.25">
      <c r="A302" s="388">
        <v>15700</v>
      </c>
      <c r="B302" s="389">
        <v>1710</v>
      </c>
      <c r="C302" s="389">
        <v>2502</v>
      </c>
      <c r="D302" s="389">
        <v>2903</v>
      </c>
      <c r="E302" s="389">
        <v>3242</v>
      </c>
      <c r="F302" s="388">
        <v>3567</v>
      </c>
      <c r="G302" s="388">
        <v>3877</v>
      </c>
    </row>
    <row r="303" spans="1:7" x14ac:dyDescent="0.25">
      <c r="A303" s="388">
        <v>15750</v>
      </c>
      <c r="B303" s="389">
        <v>1714</v>
      </c>
      <c r="C303" s="389">
        <v>2507</v>
      </c>
      <c r="D303" s="389">
        <v>2907</v>
      </c>
      <c r="E303" s="389">
        <v>3248</v>
      </c>
      <c r="F303" s="388">
        <v>3572</v>
      </c>
      <c r="G303" s="388">
        <v>3883</v>
      </c>
    </row>
    <row r="304" spans="1:7" x14ac:dyDescent="0.25">
      <c r="A304" s="388">
        <v>15800</v>
      </c>
      <c r="B304" s="389">
        <v>1717</v>
      </c>
      <c r="C304" s="389">
        <v>2512</v>
      </c>
      <c r="D304" s="389">
        <v>2912</v>
      </c>
      <c r="E304" s="389">
        <v>3253</v>
      </c>
      <c r="F304" s="388">
        <v>3578</v>
      </c>
      <c r="G304" s="388">
        <v>3890</v>
      </c>
    </row>
    <row r="305" spans="1:7" x14ac:dyDescent="0.25">
      <c r="A305" s="388">
        <v>15850</v>
      </c>
      <c r="B305" s="389">
        <v>1721</v>
      </c>
      <c r="C305" s="389">
        <v>2516</v>
      </c>
      <c r="D305" s="389">
        <v>2917</v>
      </c>
      <c r="E305" s="389">
        <v>3258</v>
      </c>
      <c r="F305" s="388">
        <v>3584</v>
      </c>
      <c r="G305" s="388">
        <v>3896</v>
      </c>
    </row>
    <row r="306" spans="1:7" x14ac:dyDescent="0.25">
      <c r="A306" s="388">
        <v>15900</v>
      </c>
      <c r="B306" s="389">
        <v>1724</v>
      </c>
      <c r="C306" s="389">
        <v>2521</v>
      </c>
      <c r="D306" s="389">
        <v>2922</v>
      </c>
      <c r="E306" s="389">
        <v>3264</v>
      </c>
      <c r="F306" s="388">
        <v>3590</v>
      </c>
      <c r="G306" s="388">
        <v>3902</v>
      </c>
    </row>
    <row r="307" spans="1:7" x14ac:dyDescent="0.25">
      <c r="A307" s="388">
        <v>15950</v>
      </c>
      <c r="B307" s="389">
        <v>1728</v>
      </c>
      <c r="C307" s="389">
        <v>2526</v>
      </c>
      <c r="D307" s="389">
        <v>2927</v>
      </c>
      <c r="E307" s="389">
        <v>3269</v>
      </c>
      <c r="F307" s="388">
        <v>3596</v>
      </c>
      <c r="G307" s="388">
        <v>3909</v>
      </c>
    </row>
    <row r="308" spans="1:7" x14ac:dyDescent="0.25">
      <c r="A308" s="388">
        <v>16000</v>
      </c>
      <c r="B308" s="389">
        <v>1731</v>
      </c>
      <c r="C308" s="389">
        <v>2530</v>
      </c>
      <c r="D308" s="389">
        <v>2931</v>
      </c>
      <c r="E308" s="389">
        <v>3274</v>
      </c>
      <c r="F308" s="388">
        <v>3602</v>
      </c>
      <c r="G308" s="388">
        <v>3915</v>
      </c>
    </row>
    <row r="309" spans="1:7" x14ac:dyDescent="0.25">
      <c r="A309" s="388">
        <v>16050</v>
      </c>
      <c r="B309" s="389">
        <v>1735</v>
      </c>
      <c r="C309" s="389">
        <v>2535</v>
      </c>
      <c r="D309" s="389">
        <v>2936</v>
      </c>
      <c r="E309" s="389">
        <v>3280</v>
      </c>
      <c r="F309" s="388">
        <v>3608</v>
      </c>
      <c r="G309" s="388">
        <v>3922</v>
      </c>
    </row>
    <row r="310" spans="1:7" x14ac:dyDescent="0.25">
      <c r="A310" s="388">
        <v>16100</v>
      </c>
      <c r="B310" s="389">
        <v>1738</v>
      </c>
      <c r="C310" s="389">
        <v>2540</v>
      </c>
      <c r="D310" s="389">
        <v>2941</v>
      </c>
      <c r="E310" s="389">
        <v>3285</v>
      </c>
      <c r="F310" s="388">
        <v>3614</v>
      </c>
      <c r="G310" s="388">
        <v>3928</v>
      </c>
    </row>
    <row r="311" spans="1:7" x14ac:dyDescent="0.25">
      <c r="A311" s="388">
        <v>16150</v>
      </c>
      <c r="B311" s="389">
        <v>1742</v>
      </c>
      <c r="C311" s="389">
        <v>2544</v>
      </c>
      <c r="D311" s="389">
        <v>2946</v>
      </c>
      <c r="E311" s="389">
        <v>3290</v>
      </c>
      <c r="F311" s="388">
        <v>3619</v>
      </c>
      <c r="G311" s="388">
        <v>3934</v>
      </c>
    </row>
    <row r="312" spans="1:7" x14ac:dyDescent="0.25">
      <c r="A312" s="388">
        <v>16200</v>
      </c>
      <c r="B312" s="389">
        <v>1745</v>
      </c>
      <c r="C312" s="389">
        <v>2549</v>
      </c>
      <c r="D312" s="389">
        <v>2951</v>
      </c>
      <c r="E312" s="389">
        <v>3296</v>
      </c>
      <c r="F312" s="388">
        <v>3625</v>
      </c>
      <c r="G312" s="388">
        <v>3941</v>
      </c>
    </row>
    <row r="313" spans="1:7" x14ac:dyDescent="0.25">
      <c r="A313" s="388">
        <v>16250</v>
      </c>
      <c r="B313" s="389">
        <v>1749</v>
      </c>
      <c r="C313" s="389">
        <v>2554</v>
      </c>
      <c r="D313" s="389">
        <v>2955</v>
      </c>
      <c r="E313" s="389">
        <v>3301</v>
      </c>
      <c r="F313" s="388">
        <v>3631</v>
      </c>
      <c r="G313" s="388">
        <v>3947</v>
      </c>
    </row>
    <row r="314" spans="1:7" x14ac:dyDescent="0.25">
      <c r="A314" s="388">
        <v>16300</v>
      </c>
      <c r="B314" s="389">
        <v>1752</v>
      </c>
      <c r="C314" s="389">
        <v>2558</v>
      </c>
      <c r="D314" s="389">
        <v>2960</v>
      </c>
      <c r="E314" s="389">
        <v>3306</v>
      </c>
      <c r="F314" s="388">
        <v>3637</v>
      </c>
      <c r="G314" s="388">
        <v>3954</v>
      </c>
    </row>
    <row r="315" spans="1:7" x14ac:dyDescent="0.25">
      <c r="A315" s="388">
        <v>16350</v>
      </c>
      <c r="B315" s="389">
        <v>1756</v>
      </c>
      <c r="C315" s="389">
        <v>2563</v>
      </c>
      <c r="D315" s="389">
        <v>2965</v>
      </c>
      <c r="E315" s="389">
        <v>3312</v>
      </c>
      <c r="F315" s="388">
        <v>3643</v>
      </c>
      <c r="G315" s="388">
        <v>3960</v>
      </c>
    </row>
    <row r="316" spans="1:7" x14ac:dyDescent="0.25">
      <c r="A316" s="388">
        <v>16400</v>
      </c>
      <c r="B316" s="389">
        <v>1760</v>
      </c>
      <c r="C316" s="389">
        <v>2568</v>
      </c>
      <c r="D316" s="389">
        <v>2970</v>
      </c>
      <c r="E316" s="389">
        <v>3317</v>
      </c>
      <c r="F316" s="388">
        <v>3649</v>
      </c>
      <c r="G316" s="388">
        <v>3966</v>
      </c>
    </row>
    <row r="317" spans="1:7" x14ac:dyDescent="0.25">
      <c r="A317" s="388">
        <v>16450</v>
      </c>
      <c r="B317" s="389">
        <v>1763</v>
      </c>
      <c r="C317" s="389">
        <v>2572</v>
      </c>
      <c r="D317" s="389">
        <v>2974</v>
      </c>
      <c r="E317" s="389">
        <v>3322</v>
      </c>
      <c r="F317" s="388">
        <v>3655</v>
      </c>
      <c r="G317" s="388">
        <v>3973</v>
      </c>
    </row>
    <row r="318" spans="1:7" x14ac:dyDescent="0.25">
      <c r="A318" s="388">
        <v>16500</v>
      </c>
      <c r="B318" s="389">
        <v>1767</v>
      </c>
      <c r="C318" s="389">
        <v>2577</v>
      </c>
      <c r="D318" s="389">
        <v>2979</v>
      </c>
      <c r="E318" s="389">
        <v>3328</v>
      </c>
      <c r="F318" s="388">
        <v>3661</v>
      </c>
      <c r="G318" s="388">
        <v>3979</v>
      </c>
    </row>
    <row r="319" spans="1:7" x14ac:dyDescent="0.25">
      <c r="A319" s="388">
        <v>16550</v>
      </c>
      <c r="B319" s="389">
        <v>1770</v>
      </c>
      <c r="C319" s="389">
        <v>2582</v>
      </c>
      <c r="D319" s="389">
        <v>2984</v>
      </c>
      <c r="E319" s="389">
        <v>3333</v>
      </c>
      <c r="F319" s="388">
        <v>3666</v>
      </c>
      <c r="G319" s="388">
        <v>3985</v>
      </c>
    </row>
    <row r="320" spans="1:7" x14ac:dyDescent="0.25">
      <c r="A320" s="388">
        <v>16600</v>
      </c>
      <c r="B320" s="389">
        <v>1774</v>
      </c>
      <c r="C320" s="389">
        <v>2586</v>
      </c>
      <c r="D320" s="389">
        <v>2989</v>
      </c>
      <c r="E320" s="389">
        <v>3338</v>
      </c>
      <c r="F320" s="388">
        <v>3672</v>
      </c>
      <c r="G320" s="388">
        <v>3992</v>
      </c>
    </row>
    <row r="321" spans="1:7" x14ac:dyDescent="0.25">
      <c r="A321" s="388">
        <v>16650</v>
      </c>
      <c r="B321" s="389">
        <v>1777</v>
      </c>
      <c r="C321" s="389">
        <v>2591</v>
      </c>
      <c r="D321" s="389">
        <v>2994</v>
      </c>
      <c r="E321" s="389">
        <v>3344</v>
      </c>
      <c r="F321" s="388">
        <v>3678</v>
      </c>
      <c r="G321" s="388">
        <v>3998</v>
      </c>
    </row>
    <row r="322" spans="1:7" x14ac:dyDescent="0.25">
      <c r="A322" s="388">
        <v>16700</v>
      </c>
      <c r="B322" s="389">
        <v>1781</v>
      </c>
      <c r="C322" s="389">
        <v>2596</v>
      </c>
      <c r="D322" s="389">
        <v>2998</v>
      </c>
      <c r="E322" s="389">
        <v>3349</v>
      </c>
      <c r="F322" s="388">
        <v>3684</v>
      </c>
      <c r="G322" s="388">
        <v>4005</v>
      </c>
    </row>
    <row r="323" spans="1:7" x14ac:dyDescent="0.25">
      <c r="A323" s="388">
        <v>16750</v>
      </c>
      <c r="B323" s="389">
        <v>1784</v>
      </c>
      <c r="C323" s="389">
        <v>2600</v>
      </c>
      <c r="D323" s="389">
        <v>3003</v>
      </c>
      <c r="E323" s="389">
        <v>3354</v>
      </c>
      <c r="F323" s="388">
        <v>3690</v>
      </c>
      <c r="G323" s="388">
        <v>4011</v>
      </c>
    </row>
    <row r="324" spans="1:7" x14ac:dyDescent="0.25">
      <c r="A324" s="388">
        <v>16800</v>
      </c>
      <c r="B324" s="389">
        <v>1788</v>
      </c>
      <c r="C324" s="389">
        <v>2605</v>
      </c>
      <c r="D324" s="389">
        <v>3008</v>
      </c>
      <c r="E324" s="389">
        <v>3360</v>
      </c>
      <c r="F324" s="388">
        <v>3696</v>
      </c>
      <c r="G324" s="388">
        <v>4017</v>
      </c>
    </row>
    <row r="325" spans="1:7" x14ac:dyDescent="0.25">
      <c r="A325" s="388">
        <v>16850</v>
      </c>
      <c r="B325" s="389">
        <v>1791</v>
      </c>
      <c r="C325" s="389">
        <v>2609</v>
      </c>
      <c r="D325" s="389">
        <v>3012</v>
      </c>
      <c r="E325" s="389">
        <v>3365</v>
      </c>
      <c r="F325" s="388">
        <v>3701</v>
      </c>
      <c r="G325" s="388">
        <v>4023</v>
      </c>
    </row>
    <row r="326" spans="1:7" x14ac:dyDescent="0.25">
      <c r="A326" s="388">
        <v>16900</v>
      </c>
      <c r="B326" s="389">
        <v>1795</v>
      </c>
      <c r="C326" s="389">
        <v>2614</v>
      </c>
      <c r="D326" s="389">
        <v>3017</v>
      </c>
      <c r="E326" s="389">
        <v>3370</v>
      </c>
      <c r="F326" s="388">
        <v>3707</v>
      </c>
      <c r="G326" s="388">
        <v>4030</v>
      </c>
    </row>
    <row r="327" spans="1:7" x14ac:dyDescent="0.25">
      <c r="A327" s="388">
        <v>16950</v>
      </c>
      <c r="B327" s="389">
        <v>1798</v>
      </c>
      <c r="C327" s="389">
        <v>2619</v>
      </c>
      <c r="D327" s="389">
        <v>3022</v>
      </c>
      <c r="E327" s="389">
        <v>3375</v>
      </c>
      <c r="F327" s="388">
        <v>3713</v>
      </c>
      <c r="G327" s="388">
        <v>4036</v>
      </c>
    </row>
    <row r="328" spans="1:7" x14ac:dyDescent="0.25">
      <c r="A328" s="388">
        <v>17000</v>
      </c>
      <c r="B328" s="389">
        <v>1802</v>
      </c>
      <c r="C328" s="389">
        <v>2623</v>
      </c>
      <c r="D328" s="389">
        <v>3027</v>
      </c>
      <c r="E328" s="389">
        <v>3381</v>
      </c>
      <c r="F328" s="388">
        <v>3719</v>
      </c>
      <c r="G328" s="388">
        <v>4042</v>
      </c>
    </row>
    <row r="329" spans="1:7" x14ac:dyDescent="0.25">
      <c r="A329" s="388">
        <v>17050</v>
      </c>
      <c r="B329" s="389">
        <v>1805</v>
      </c>
      <c r="C329" s="389">
        <v>2628</v>
      </c>
      <c r="D329" s="389">
        <v>3031</v>
      </c>
      <c r="E329" s="389">
        <v>3386</v>
      </c>
      <c r="F329" s="388">
        <v>3725</v>
      </c>
      <c r="G329" s="388">
        <v>4049</v>
      </c>
    </row>
    <row r="330" spans="1:7" x14ac:dyDescent="0.25">
      <c r="A330" s="388">
        <v>17100</v>
      </c>
      <c r="B330" s="389">
        <v>1808</v>
      </c>
      <c r="C330" s="389">
        <v>2632</v>
      </c>
      <c r="D330" s="389">
        <v>3036</v>
      </c>
      <c r="E330" s="389">
        <v>3391</v>
      </c>
      <c r="F330" s="388">
        <v>3730</v>
      </c>
      <c r="G330" s="388">
        <v>4055</v>
      </c>
    </row>
    <row r="331" spans="1:7" x14ac:dyDescent="0.25">
      <c r="A331" s="388">
        <v>17150</v>
      </c>
      <c r="B331" s="389">
        <v>1812</v>
      </c>
      <c r="C331" s="389">
        <v>2637</v>
      </c>
      <c r="D331" s="389">
        <v>3041</v>
      </c>
      <c r="E331" s="389">
        <v>3397</v>
      </c>
      <c r="F331" s="388">
        <v>3736</v>
      </c>
      <c r="G331" s="388">
        <v>4061</v>
      </c>
    </row>
    <row r="332" spans="1:7" x14ac:dyDescent="0.25">
      <c r="A332" s="388">
        <v>17200</v>
      </c>
      <c r="B332" s="389">
        <v>1815</v>
      </c>
      <c r="C332" s="389">
        <v>2642</v>
      </c>
      <c r="D332" s="389">
        <v>3045</v>
      </c>
      <c r="E332" s="389">
        <v>3402</v>
      </c>
      <c r="F332" s="388">
        <v>3742</v>
      </c>
      <c r="G332" s="388">
        <v>4068</v>
      </c>
    </row>
    <row r="333" spans="1:7" x14ac:dyDescent="0.25">
      <c r="A333" s="388">
        <v>17250</v>
      </c>
      <c r="B333" s="389">
        <v>1819</v>
      </c>
      <c r="C333" s="389">
        <v>2646</v>
      </c>
      <c r="D333" s="389">
        <v>3050</v>
      </c>
      <c r="E333" s="389">
        <v>3407</v>
      </c>
      <c r="F333" s="388">
        <v>3748</v>
      </c>
      <c r="G333" s="388">
        <v>4074</v>
      </c>
    </row>
    <row r="334" spans="1:7" x14ac:dyDescent="0.25">
      <c r="A334" s="388">
        <v>17300</v>
      </c>
      <c r="B334" s="389">
        <v>1822</v>
      </c>
      <c r="C334" s="389">
        <v>2651</v>
      </c>
      <c r="D334" s="389">
        <v>3055</v>
      </c>
      <c r="E334" s="389">
        <v>3412</v>
      </c>
      <c r="F334" s="388">
        <v>3754</v>
      </c>
      <c r="G334" s="388">
        <v>4080</v>
      </c>
    </row>
    <row r="335" spans="1:7" x14ac:dyDescent="0.25">
      <c r="A335" s="388">
        <v>17350</v>
      </c>
      <c r="B335" s="389">
        <v>1826</v>
      </c>
      <c r="C335" s="389">
        <v>2655</v>
      </c>
      <c r="D335" s="389">
        <v>3060</v>
      </c>
      <c r="E335" s="389">
        <v>3418</v>
      </c>
      <c r="F335" s="388">
        <v>3759</v>
      </c>
      <c r="G335" s="388">
        <v>4086</v>
      </c>
    </row>
    <row r="336" spans="1:7" x14ac:dyDescent="0.25">
      <c r="A336" s="388">
        <v>17400</v>
      </c>
      <c r="B336" s="389">
        <v>1829</v>
      </c>
      <c r="C336" s="389">
        <v>2660</v>
      </c>
      <c r="D336" s="389">
        <v>3064</v>
      </c>
      <c r="E336" s="389">
        <v>3423</v>
      </c>
      <c r="F336" s="388">
        <v>3765</v>
      </c>
      <c r="G336" s="388">
        <v>4093</v>
      </c>
    </row>
    <row r="337" spans="1:7" x14ac:dyDescent="0.25">
      <c r="A337" s="388">
        <v>17450</v>
      </c>
      <c r="B337" s="389">
        <v>1833</v>
      </c>
      <c r="C337" s="389">
        <v>2665</v>
      </c>
      <c r="D337" s="389">
        <v>3069</v>
      </c>
      <c r="E337" s="389">
        <v>3428</v>
      </c>
      <c r="F337" s="388">
        <v>3771</v>
      </c>
      <c r="G337" s="388">
        <v>4099</v>
      </c>
    </row>
    <row r="338" spans="1:7" x14ac:dyDescent="0.25">
      <c r="A338" s="388">
        <v>17500</v>
      </c>
      <c r="B338" s="389">
        <v>1836</v>
      </c>
      <c r="C338" s="389">
        <v>2669</v>
      </c>
      <c r="D338" s="389">
        <v>3074</v>
      </c>
      <c r="E338" s="389">
        <v>3433</v>
      </c>
      <c r="F338" s="388">
        <v>3777</v>
      </c>
      <c r="G338" s="388">
        <v>4105</v>
      </c>
    </row>
    <row r="339" spans="1:7" x14ac:dyDescent="0.25">
      <c r="A339" s="388">
        <v>17550</v>
      </c>
      <c r="B339" s="389">
        <v>1840</v>
      </c>
      <c r="C339" s="389">
        <v>2674</v>
      </c>
      <c r="D339" s="389">
        <v>3078</v>
      </c>
      <c r="E339" s="389">
        <v>3439</v>
      </c>
      <c r="F339" s="388">
        <v>3783</v>
      </c>
      <c r="G339" s="388">
        <v>4112</v>
      </c>
    </row>
    <row r="340" spans="1:7" x14ac:dyDescent="0.25">
      <c r="A340" s="388">
        <v>17600</v>
      </c>
      <c r="B340" s="389">
        <v>1843</v>
      </c>
      <c r="C340" s="389">
        <v>2678</v>
      </c>
      <c r="D340" s="389">
        <v>3083</v>
      </c>
      <c r="E340" s="389">
        <v>3444</v>
      </c>
      <c r="F340" s="388">
        <v>3788</v>
      </c>
      <c r="G340" s="388">
        <v>4118</v>
      </c>
    </row>
    <row r="341" spans="1:7" x14ac:dyDescent="0.25">
      <c r="A341" s="388">
        <v>17650</v>
      </c>
      <c r="B341" s="389">
        <v>1847</v>
      </c>
      <c r="C341" s="389">
        <v>2683</v>
      </c>
      <c r="D341" s="389">
        <v>3088</v>
      </c>
      <c r="E341" s="389">
        <v>3449</v>
      </c>
      <c r="F341" s="388">
        <v>3794</v>
      </c>
      <c r="G341" s="388">
        <v>4124</v>
      </c>
    </row>
    <row r="342" spans="1:7" x14ac:dyDescent="0.25">
      <c r="A342" s="388">
        <v>17700</v>
      </c>
      <c r="B342" s="389">
        <v>1850</v>
      </c>
      <c r="C342" s="389">
        <v>2688</v>
      </c>
      <c r="D342" s="389">
        <v>3093</v>
      </c>
      <c r="E342" s="389">
        <v>3454</v>
      </c>
      <c r="F342" s="388">
        <v>3800</v>
      </c>
      <c r="G342" s="388">
        <v>4130</v>
      </c>
    </row>
    <row r="343" spans="1:7" x14ac:dyDescent="0.25">
      <c r="A343" s="388">
        <v>17750</v>
      </c>
      <c r="B343" s="388">
        <v>1854</v>
      </c>
      <c r="C343" s="389">
        <v>2692</v>
      </c>
      <c r="D343" s="389">
        <v>3097</v>
      </c>
      <c r="E343" s="389">
        <v>3460</v>
      </c>
      <c r="F343" s="388">
        <v>3806</v>
      </c>
      <c r="G343" s="388">
        <v>4137</v>
      </c>
    </row>
    <row r="344" spans="1:7" x14ac:dyDescent="0.25">
      <c r="A344" s="388">
        <v>17800</v>
      </c>
      <c r="B344" s="389">
        <v>1857</v>
      </c>
      <c r="C344" s="389">
        <v>2697</v>
      </c>
      <c r="D344" s="389">
        <v>3102</v>
      </c>
      <c r="E344" s="389">
        <v>3465</v>
      </c>
      <c r="F344" s="388">
        <v>3811</v>
      </c>
      <c r="G344" s="388">
        <v>4143</v>
      </c>
    </row>
    <row r="345" spans="1:7" x14ac:dyDescent="0.25">
      <c r="A345" s="388">
        <v>17850</v>
      </c>
      <c r="B345" s="389">
        <v>1861</v>
      </c>
      <c r="C345" s="389">
        <v>2701</v>
      </c>
      <c r="D345" s="389">
        <v>3107</v>
      </c>
      <c r="E345" s="389">
        <v>3470</v>
      </c>
      <c r="F345" s="388">
        <v>3817</v>
      </c>
      <c r="G345" s="388">
        <v>4149</v>
      </c>
    </row>
    <row r="346" spans="1:7" x14ac:dyDescent="0.25">
      <c r="A346" s="388">
        <v>17900</v>
      </c>
      <c r="B346" s="389">
        <v>1864</v>
      </c>
      <c r="C346" s="389">
        <v>2706</v>
      </c>
      <c r="D346" s="389">
        <v>3111</v>
      </c>
      <c r="E346" s="389">
        <v>3476</v>
      </c>
      <c r="F346" s="388">
        <v>3823</v>
      </c>
      <c r="G346" s="388">
        <v>4156</v>
      </c>
    </row>
    <row r="347" spans="1:7" x14ac:dyDescent="0.25">
      <c r="A347" s="388">
        <v>17950</v>
      </c>
      <c r="B347" s="389">
        <v>1868</v>
      </c>
      <c r="C347" s="389">
        <v>2711</v>
      </c>
      <c r="D347" s="389">
        <v>3116</v>
      </c>
      <c r="E347" s="389">
        <v>3481</v>
      </c>
      <c r="F347" s="388">
        <v>3829</v>
      </c>
      <c r="G347" s="388">
        <v>4162</v>
      </c>
    </row>
    <row r="348" spans="1:7" x14ac:dyDescent="0.25">
      <c r="A348" s="388">
        <v>18000</v>
      </c>
      <c r="B348" s="389">
        <v>1871</v>
      </c>
      <c r="C348" s="389">
        <v>2715</v>
      </c>
      <c r="D348" s="389">
        <v>3121</v>
      </c>
      <c r="E348" s="389">
        <v>3486</v>
      </c>
      <c r="F348" s="388">
        <v>3835</v>
      </c>
      <c r="G348" s="388">
        <v>4168</v>
      </c>
    </row>
    <row r="349" spans="1:7" x14ac:dyDescent="0.25">
      <c r="A349" s="388">
        <v>18050</v>
      </c>
      <c r="B349" s="388">
        <v>1875</v>
      </c>
      <c r="C349" s="388">
        <v>2720</v>
      </c>
      <c r="D349" s="388">
        <v>3126</v>
      </c>
      <c r="E349" s="388">
        <v>3491</v>
      </c>
      <c r="F349" s="388">
        <v>3840</v>
      </c>
      <c r="G349" s="388">
        <v>4175</v>
      </c>
    </row>
    <row r="350" spans="1:7" x14ac:dyDescent="0.25">
      <c r="A350" s="388">
        <v>18100</v>
      </c>
      <c r="B350" s="388">
        <v>1878</v>
      </c>
      <c r="C350" s="388">
        <v>2724</v>
      </c>
      <c r="D350" s="388">
        <v>3130</v>
      </c>
      <c r="E350" s="388">
        <v>3497</v>
      </c>
      <c r="F350" s="388">
        <v>3846</v>
      </c>
      <c r="G350" s="388">
        <v>4181</v>
      </c>
    </row>
    <row r="351" spans="1:7" x14ac:dyDescent="0.25">
      <c r="A351" s="388">
        <v>18150</v>
      </c>
      <c r="B351" s="388">
        <v>1882</v>
      </c>
      <c r="C351" s="388">
        <v>2729</v>
      </c>
      <c r="D351" s="388">
        <v>3135</v>
      </c>
      <c r="E351" s="388">
        <v>3502</v>
      </c>
      <c r="F351" s="388">
        <v>3852</v>
      </c>
      <c r="G351" s="388">
        <v>4187</v>
      </c>
    </row>
    <row r="352" spans="1:7" x14ac:dyDescent="0.25">
      <c r="A352" s="388">
        <v>18200</v>
      </c>
      <c r="B352" s="388">
        <v>1885</v>
      </c>
      <c r="C352" s="388">
        <v>2734</v>
      </c>
      <c r="D352" s="388">
        <v>3140</v>
      </c>
      <c r="E352" s="388">
        <v>3507</v>
      </c>
      <c r="F352" s="388">
        <v>3858</v>
      </c>
      <c r="G352" s="388">
        <v>4193</v>
      </c>
    </row>
    <row r="353" spans="1:7" x14ac:dyDescent="0.25">
      <c r="A353" s="388">
        <v>18250</v>
      </c>
      <c r="B353" s="388">
        <v>1888</v>
      </c>
      <c r="C353" s="388">
        <v>2738</v>
      </c>
      <c r="D353" s="388">
        <v>3144</v>
      </c>
      <c r="E353" s="388">
        <v>3512</v>
      </c>
      <c r="F353" s="388">
        <v>3864</v>
      </c>
      <c r="G353" s="388">
        <v>4200</v>
      </c>
    </row>
    <row r="354" spans="1:7" x14ac:dyDescent="0.25">
      <c r="A354" s="388">
        <v>18300</v>
      </c>
      <c r="B354" s="388">
        <v>1892</v>
      </c>
      <c r="C354" s="388">
        <v>2743</v>
      </c>
      <c r="D354" s="388">
        <v>3149</v>
      </c>
      <c r="E354" s="388">
        <v>3518</v>
      </c>
      <c r="F354" s="388">
        <v>3869</v>
      </c>
      <c r="G354" s="388">
        <v>4206</v>
      </c>
    </row>
    <row r="355" spans="1:7" x14ac:dyDescent="0.25">
      <c r="A355" s="388">
        <v>18350</v>
      </c>
      <c r="B355" s="388">
        <v>1895</v>
      </c>
      <c r="C355" s="388">
        <v>2747</v>
      </c>
      <c r="D355" s="388">
        <v>3154</v>
      </c>
      <c r="E355" s="388">
        <v>3523</v>
      </c>
      <c r="F355" s="388">
        <v>3875</v>
      </c>
      <c r="G355" s="388">
        <v>4213</v>
      </c>
    </row>
    <row r="356" spans="1:7" x14ac:dyDescent="0.25">
      <c r="A356" s="388">
        <v>18400</v>
      </c>
      <c r="B356" s="388">
        <v>1898</v>
      </c>
      <c r="C356" s="388">
        <v>2752</v>
      </c>
      <c r="D356" s="388">
        <v>3161</v>
      </c>
      <c r="E356" s="388">
        <v>3531</v>
      </c>
      <c r="F356" s="388">
        <v>3884</v>
      </c>
      <c r="G356" s="388">
        <v>4222</v>
      </c>
    </row>
    <row r="357" spans="1:7" x14ac:dyDescent="0.25">
      <c r="A357" s="388">
        <v>18450</v>
      </c>
      <c r="B357" s="388">
        <v>1901</v>
      </c>
      <c r="C357" s="388">
        <v>2757</v>
      </c>
      <c r="D357" s="388">
        <v>3168</v>
      </c>
      <c r="E357" s="388">
        <v>3538</v>
      </c>
      <c r="F357" s="388">
        <v>3892</v>
      </c>
      <c r="G357" s="388">
        <v>4231</v>
      </c>
    </row>
    <row r="358" spans="1:7" x14ac:dyDescent="0.25">
      <c r="A358" s="388">
        <v>18500</v>
      </c>
      <c r="B358" s="388">
        <v>1904</v>
      </c>
      <c r="C358" s="388">
        <v>2762</v>
      </c>
      <c r="D358" s="388">
        <v>3174</v>
      </c>
      <c r="E358" s="388">
        <v>3546</v>
      </c>
      <c r="F358" s="388">
        <v>3900</v>
      </c>
      <c r="G358" s="388">
        <v>4240</v>
      </c>
    </row>
    <row r="359" spans="1:7" x14ac:dyDescent="0.25">
      <c r="A359" s="388">
        <v>18550</v>
      </c>
      <c r="B359" s="388">
        <v>1907</v>
      </c>
      <c r="C359" s="388">
        <v>2767</v>
      </c>
      <c r="D359" s="388">
        <v>3181</v>
      </c>
      <c r="E359" s="388">
        <v>3553</v>
      </c>
      <c r="F359" s="388">
        <v>3909</v>
      </c>
      <c r="G359" s="388">
        <v>4249</v>
      </c>
    </row>
    <row r="360" spans="1:7" x14ac:dyDescent="0.25">
      <c r="A360" s="388">
        <v>18600</v>
      </c>
      <c r="B360" s="388">
        <v>1910</v>
      </c>
      <c r="C360" s="388">
        <v>2772</v>
      </c>
      <c r="D360" s="388">
        <v>3188</v>
      </c>
      <c r="E360" s="388">
        <v>3561</v>
      </c>
      <c r="F360" s="388">
        <v>3917</v>
      </c>
      <c r="G360" s="388">
        <v>4258</v>
      </c>
    </row>
    <row r="361" spans="1:7" x14ac:dyDescent="0.25">
      <c r="A361" s="388">
        <v>18650</v>
      </c>
      <c r="B361" s="388">
        <v>1913</v>
      </c>
      <c r="C361" s="388">
        <v>2777</v>
      </c>
      <c r="D361" s="388">
        <v>3195</v>
      </c>
      <c r="E361" s="388">
        <v>3568</v>
      </c>
      <c r="F361" s="388">
        <v>3925</v>
      </c>
      <c r="G361" s="388">
        <v>4267</v>
      </c>
    </row>
    <row r="362" spans="1:7" x14ac:dyDescent="0.25">
      <c r="A362" s="388">
        <v>18700</v>
      </c>
      <c r="B362" s="388">
        <v>1916</v>
      </c>
      <c r="C362" s="388">
        <v>2782</v>
      </c>
      <c r="D362" s="388">
        <v>3201</v>
      </c>
      <c r="E362" s="388">
        <v>3576</v>
      </c>
      <c r="F362" s="388">
        <v>3933</v>
      </c>
      <c r="G362" s="388">
        <v>4276</v>
      </c>
    </row>
    <row r="363" spans="1:7" x14ac:dyDescent="0.25">
      <c r="A363" s="388">
        <v>18750</v>
      </c>
      <c r="B363" s="388">
        <v>1918</v>
      </c>
      <c r="C363" s="388">
        <v>2787</v>
      </c>
      <c r="D363" s="388">
        <v>3208</v>
      </c>
      <c r="E363" s="388">
        <v>3583</v>
      </c>
      <c r="F363" s="388">
        <v>3942</v>
      </c>
      <c r="G363" s="388">
        <v>4285</v>
      </c>
    </row>
    <row r="364" spans="1:7" x14ac:dyDescent="0.25">
      <c r="A364" s="388">
        <v>18800</v>
      </c>
      <c r="B364" s="388">
        <v>1921</v>
      </c>
      <c r="C364" s="388">
        <v>2792</v>
      </c>
      <c r="D364" s="388">
        <v>3215</v>
      </c>
      <c r="E364" s="388">
        <v>3591</v>
      </c>
      <c r="F364" s="388">
        <v>3950</v>
      </c>
      <c r="G364" s="388">
        <v>4294</v>
      </c>
    </row>
    <row r="365" spans="1:7" x14ac:dyDescent="0.25">
      <c r="A365" s="388">
        <v>18850</v>
      </c>
      <c r="B365" s="388">
        <v>1924</v>
      </c>
      <c r="C365" s="388">
        <v>2797</v>
      </c>
      <c r="D365" s="388">
        <v>3221</v>
      </c>
      <c r="E365" s="388">
        <v>3598</v>
      </c>
      <c r="F365" s="388">
        <v>3958</v>
      </c>
      <c r="G365" s="388">
        <v>4303</v>
      </c>
    </row>
    <row r="366" spans="1:7" x14ac:dyDescent="0.25">
      <c r="A366" s="388">
        <v>18900</v>
      </c>
      <c r="B366" s="388">
        <v>1927</v>
      </c>
      <c r="C366" s="388">
        <v>2802</v>
      </c>
      <c r="D366" s="388">
        <v>3228</v>
      </c>
      <c r="E366" s="388">
        <v>3606</v>
      </c>
      <c r="F366" s="388">
        <v>3966</v>
      </c>
      <c r="G366" s="388">
        <v>4312</v>
      </c>
    </row>
    <row r="367" spans="1:7" x14ac:dyDescent="0.25">
      <c r="A367" s="388">
        <v>18950</v>
      </c>
      <c r="B367" s="388">
        <v>1930</v>
      </c>
      <c r="C367" s="388">
        <v>2807</v>
      </c>
      <c r="D367" s="388">
        <v>3235</v>
      </c>
      <c r="E367" s="388">
        <v>3613</v>
      </c>
      <c r="F367" s="388">
        <v>3975</v>
      </c>
      <c r="G367" s="388">
        <v>4321</v>
      </c>
    </row>
    <row r="368" spans="1:7" x14ac:dyDescent="0.25">
      <c r="A368" s="388">
        <v>19000</v>
      </c>
      <c r="B368" s="388">
        <v>1933</v>
      </c>
      <c r="C368" s="388">
        <v>2812</v>
      </c>
      <c r="D368" s="388">
        <v>3242</v>
      </c>
      <c r="E368" s="388">
        <v>3621</v>
      </c>
      <c r="F368" s="388">
        <v>3983</v>
      </c>
      <c r="G368" s="388">
        <v>4330</v>
      </c>
    </row>
    <row r="369" spans="1:7" x14ac:dyDescent="0.25">
      <c r="A369" s="388">
        <v>19050</v>
      </c>
      <c r="B369" s="388">
        <v>1936</v>
      </c>
      <c r="C369" s="388">
        <v>2817</v>
      </c>
      <c r="D369" s="388">
        <v>3248</v>
      </c>
      <c r="E369" s="388">
        <v>3628</v>
      </c>
      <c r="F369" s="388">
        <v>3991</v>
      </c>
      <c r="G369" s="388">
        <v>4339</v>
      </c>
    </row>
    <row r="370" spans="1:7" x14ac:dyDescent="0.25">
      <c r="A370" s="388">
        <v>19100</v>
      </c>
      <c r="B370" s="388">
        <v>1939</v>
      </c>
      <c r="C370" s="388">
        <v>2822</v>
      </c>
      <c r="D370" s="388">
        <v>3255</v>
      </c>
      <c r="E370" s="388">
        <v>3636</v>
      </c>
      <c r="F370" s="388">
        <v>4000</v>
      </c>
      <c r="G370" s="388">
        <v>4348</v>
      </c>
    </row>
    <row r="371" spans="1:7" x14ac:dyDescent="0.25">
      <c r="A371" s="388">
        <v>19150</v>
      </c>
      <c r="B371" s="388">
        <v>1942</v>
      </c>
      <c r="C371" s="388">
        <v>2827</v>
      </c>
      <c r="D371" s="388">
        <v>3262</v>
      </c>
      <c r="E371" s="388">
        <v>3644</v>
      </c>
      <c r="F371" s="388">
        <v>4008</v>
      </c>
      <c r="G371" s="388">
        <v>4357</v>
      </c>
    </row>
    <row r="372" spans="1:7" x14ac:dyDescent="0.25">
      <c r="A372" s="388">
        <v>19200</v>
      </c>
      <c r="B372" s="388">
        <v>1945</v>
      </c>
      <c r="C372" s="388">
        <v>2832</v>
      </c>
      <c r="D372" s="388">
        <v>3269</v>
      </c>
      <c r="E372" s="388">
        <v>3651</v>
      </c>
      <c r="F372" s="388">
        <v>4016</v>
      </c>
      <c r="G372" s="388">
        <v>4366</v>
      </c>
    </row>
    <row r="373" spans="1:7" x14ac:dyDescent="0.25">
      <c r="A373" s="388">
        <v>19250</v>
      </c>
      <c r="B373" s="388">
        <v>1948</v>
      </c>
      <c r="C373" s="388">
        <v>2837</v>
      </c>
      <c r="D373" s="388">
        <v>3275</v>
      </c>
      <c r="E373" s="388">
        <v>3659</v>
      </c>
      <c r="F373" s="388">
        <v>4024</v>
      </c>
      <c r="G373" s="388">
        <v>4375</v>
      </c>
    </row>
    <row r="374" spans="1:7" x14ac:dyDescent="0.25">
      <c r="A374" s="388">
        <v>19300</v>
      </c>
      <c r="B374" s="388">
        <v>1950</v>
      </c>
      <c r="C374" s="388">
        <v>2842</v>
      </c>
      <c r="D374" s="388">
        <v>3282</v>
      </c>
      <c r="E374" s="388">
        <v>3666</v>
      </c>
      <c r="F374" s="388">
        <v>4033</v>
      </c>
      <c r="G374" s="388">
        <v>4384</v>
      </c>
    </row>
    <row r="375" spans="1:7" x14ac:dyDescent="0.25">
      <c r="A375" s="388">
        <v>19350</v>
      </c>
      <c r="B375" s="388">
        <v>1953</v>
      </c>
      <c r="C375" s="388">
        <v>2847</v>
      </c>
      <c r="D375" s="388">
        <v>3289</v>
      </c>
      <c r="E375" s="388">
        <v>3674</v>
      </c>
      <c r="F375" s="388">
        <v>4041</v>
      </c>
      <c r="G375" s="388">
        <v>4393</v>
      </c>
    </row>
    <row r="376" spans="1:7" x14ac:dyDescent="0.25">
      <c r="A376" s="388">
        <v>19400</v>
      </c>
      <c r="B376" s="388">
        <v>1956</v>
      </c>
      <c r="C376" s="388">
        <v>2852</v>
      </c>
      <c r="D376" s="388">
        <v>3296</v>
      </c>
      <c r="E376" s="388">
        <v>3681</v>
      </c>
      <c r="F376" s="388">
        <v>4049</v>
      </c>
      <c r="G376" s="388">
        <v>4402</v>
      </c>
    </row>
    <row r="377" spans="1:7" x14ac:dyDescent="0.25">
      <c r="A377" s="388">
        <v>19450</v>
      </c>
      <c r="B377" s="388">
        <v>1959</v>
      </c>
      <c r="C377" s="388">
        <v>2857</v>
      </c>
      <c r="D377" s="388">
        <v>3302</v>
      </c>
      <c r="E377" s="388">
        <v>3689</v>
      </c>
      <c r="F377" s="388">
        <v>4058</v>
      </c>
      <c r="G377" s="388">
        <v>4411</v>
      </c>
    </row>
    <row r="378" spans="1:7" x14ac:dyDescent="0.25">
      <c r="A378" s="388">
        <v>19500</v>
      </c>
      <c r="B378" s="388">
        <v>1962</v>
      </c>
      <c r="C378" s="388">
        <v>2862</v>
      </c>
      <c r="D378" s="388">
        <v>3309</v>
      </c>
      <c r="E378" s="388">
        <v>3696</v>
      </c>
      <c r="F378" s="388">
        <v>4066</v>
      </c>
      <c r="G378" s="388">
        <v>4420</v>
      </c>
    </row>
    <row r="379" spans="1:7" x14ac:dyDescent="0.25">
      <c r="A379" s="388">
        <v>19550</v>
      </c>
      <c r="B379" s="388">
        <v>1965</v>
      </c>
      <c r="C379" s="388">
        <v>2867</v>
      </c>
      <c r="D379" s="388">
        <v>3316</v>
      </c>
      <c r="E379" s="388">
        <v>3704</v>
      </c>
      <c r="F379" s="388">
        <v>4074</v>
      </c>
      <c r="G379" s="388">
        <v>4429</v>
      </c>
    </row>
    <row r="380" spans="1:7" x14ac:dyDescent="0.25">
      <c r="A380" s="388">
        <v>19600</v>
      </c>
      <c r="B380" s="388">
        <v>1968</v>
      </c>
      <c r="C380" s="388">
        <v>2872</v>
      </c>
      <c r="D380" s="388">
        <v>3322</v>
      </c>
      <c r="E380" s="388">
        <v>3711</v>
      </c>
      <c r="F380" s="388">
        <v>4082</v>
      </c>
      <c r="G380" s="388">
        <v>4437</v>
      </c>
    </row>
    <row r="381" spans="1:7" x14ac:dyDescent="0.25">
      <c r="A381" s="388">
        <v>19650</v>
      </c>
      <c r="B381" s="388">
        <v>1971</v>
      </c>
      <c r="C381" s="388">
        <v>2877</v>
      </c>
      <c r="D381" s="388">
        <v>3329</v>
      </c>
      <c r="E381" s="388">
        <v>3719</v>
      </c>
      <c r="F381" s="388">
        <v>4091</v>
      </c>
      <c r="G381" s="388">
        <v>4446</v>
      </c>
    </row>
    <row r="382" spans="1:7" x14ac:dyDescent="0.25">
      <c r="A382" s="388">
        <v>19700</v>
      </c>
      <c r="B382" s="388">
        <v>1974</v>
      </c>
      <c r="C382" s="388">
        <v>2882</v>
      </c>
      <c r="D382" s="388">
        <v>3336</v>
      </c>
      <c r="E382" s="388">
        <v>3726</v>
      </c>
      <c r="F382" s="388">
        <v>4099</v>
      </c>
      <c r="G382" s="388">
        <v>4455</v>
      </c>
    </row>
    <row r="383" spans="1:7" x14ac:dyDescent="0.25">
      <c r="A383" s="388">
        <v>19750</v>
      </c>
      <c r="B383" s="388">
        <v>1977</v>
      </c>
      <c r="C383" s="388">
        <v>2887</v>
      </c>
      <c r="D383" s="388">
        <v>3343</v>
      </c>
      <c r="E383" s="388">
        <v>3734</v>
      </c>
      <c r="F383" s="388">
        <v>4107</v>
      </c>
      <c r="G383" s="388">
        <v>4464</v>
      </c>
    </row>
    <row r="384" spans="1:7" x14ac:dyDescent="0.25">
      <c r="A384" s="388">
        <v>19800</v>
      </c>
      <c r="B384" s="388">
        <v>1979</v>
      </c>
      <c r="C384" s="388">
        <v>2892</v>
      </c>
      <c r="D384" s="388">
        <v>3349</v>
      </c>
      <c r="E384" s="388">
        <v>3741</v>
      </c>
      <c r="F384" s="388">
        <v>4115</v>
      </c>
      <c r="G384" s="388">
        <v>4473</v>
      </c>
    </row>
    <row r="385" spans="1:7" x14ac:dyDescent="0.25">
      <c r="A385" s="388">
        <v>19850</v>
      </c>
      <c r="B385" s="388">
        <v>1982</v>
      </c>
      <c r="C385" s="388">
        <v>2897</v>
      </c>
      <c r="D385" s="388">
        <v>3356</v>
      </c>
      <c r="E385" s="388">
        <v>3749</v>
      </c>
      <c r="F385" s="388">
        <v>4124</v>
      </c>
      <c r="G385" s="388">
        <v>4482</v>
      </c>
    </row>
    <row r="386" spans="1:7" x14ac:dyDescent="0.25">
      <c r="A386" s="388">
        <v>19900</v>
      </c>
      <c r="B386" s="388">
        <v>1985</v>
      </c>
      <c r="C386" s="388">
        <v>2902</v>
      </c>
      <c r="D386" s="388">
        <v>3363</v>
      </c>
      <c r="E386" s="388">
        <v>3756</v>
      </c>
      <c r="F386" s="388">
        <v>4132</v>
      </c>
      <c r="G386" s="388">
        <v>4491</v>
      </c>
    </row>
    <row r="387" spans="1:7" x14ac:dyDescent="0.25">
      <c r="A387" s="388">
        <v>19950</v>
      </c>
      <c r="B387" s="388">
        <v>1988</v>
      </c>
      <c r="C387" s="388">
        <v>2907</v>
      </c>
      <c r="D387" s="388">
        <v>3370</v>
      </c>
      <c r="E387" s="388">
        <v>3764</v>
      </c>
      <c r="F387" s="388">
        <v>4140</v>
      </c>
      <c r="G387" s="388">
        <v>4500</v>
      </c>
    </row>
    <row r="388" spans="1:7" x14ac:dyDescent="0.25">
      <c r="A388" s="388">
        <v>20000</v>
      </c>
      <c r="B388" s="388">
        <v>1991</v>
      </c>
      <c r="C388" s="388">
        <v>2912</v>
      </c>
      <c r="D388" s="388">
        <v>3376</v>
      </c>
      <c r="E388" s="388">
        <v>3771</v>
      </c>
      <c r="F388" s="388">
        <v>4149</v>
      </c>
      <c r="G388" s="388">
        <v>4509</v>
      </c>
    </row>
    <row r="389" spans="1:7" x14ac:dyDescent="0.25">
      <c r="A389" s="388">
        <v>20050</v>
      </c>
      <c r="B389" s="388">
        <v>1994</v>
      </c>
      <c r="C389" s="388">
        <v>2917</v>
      </c>
      <c r="D389" s="388">
        <v>3383</v>
      </c>
      <c r="E389" s="388">
        <v>3779</v>
      </c>
      <c r="F389" s="388">
        <v>4157</v>
      </c>
      <c r="G389" s="388">
        <v>4518</v>
      </c>
    </row>
    <row r="390" spans="1:7" x14ac:dyDescent="0.25">
      <c r="A390" s="388">
        <v>20100</v>
      </c>
      <c r="B390" s="388">
        <v>1997</v>
      </c>
      <c r="C390" s="388">
        <v>2922</v>
      </c>
      <c r="D390" s="388">
        <v>3390</v>
      </c>
      <c r="E390" s="388">
        <v>3786</v>
      </c>
      <c r="F390" s="388">
        <v>4165</v>
      </c>
      <c r="G390" s="388">
        <v>4527</v>
      </c>
    </row>
    <row r="391" spans="1:7" x14ac:dyDescent="0.25">
      <c r="A391" s="388">
        <v>20150</v>
      </c>
      <c r="B391" s="388">
        <v>2000</v>
      </c>
      <c r="C391" s="388">
        <v>2927</v>
      </c>
      <c r="D391" s="388">
        <v>3397</v>
      </c>
      <c r="E391" s="388">
        <v>3794</v>
      </c>
      <c r="F391" s="388">
        <v>4173</v>
      </c>
      <c r="G391" s="388">
        <v>4536</v>
      </c>
    </row>
    <row r="392" spans="1:7" x14ac:dyDescent="0.25">
      <c r="A392" s="388">
        <v>20200</v>
      </c>
      <c r="B392" s="388">
        <v>2003</v>
      </c>
      <c r="C392" s="388">
        <v>2932</v>
      </c>
      <c r="D392" s="388">
        <v>3403</v>
      </c>
      <c r="E392" s="388">
        <v>3801</v>
      </c>
      <c r="F392" s="388">
        <v>4182</v>
      </c>
      <c r="G392" s="388">
        <v>4545</v>
      </c>
    </row>
    <row r="393" spans="1:7" x14ac:dyDescent="0.25">
      <c r="A393" s="388">
        <v>20250</v>
      </c>
      <c r="B393" s="388">
        <v>2006</v>
      </c>
      <c r="C393" s="388">
        <v>2937</v>
      </c>
      <c r="D393" s="388">
        <v>3410</v>
      </c>
      <c r="E393" s="388">
        <v>3809</v>
      </c>
      <c r="F393" s="388">
        <v>4190</v>
      </c>
      <c r="G393" s="388">
        <v>4554</v>
      </c>
    </row>
    <row r="394" spans="1:7" x14ac:dyDescent="0.25">
      <c r="A394" s="388">
        <v>20300</v>
      </c>
      <c r="B394" s="388">
        <v>2009</v>
      </c>
      <c r="C394" s="388">
        <v>2942</v>
      </c>
      <c r="D394" s="388">
        <v>3417</v>
      </c>
      <c r="E394" s="388">
        <v>3817</v>
      </c>
      <c r="F394" s="388">
        <v>4198</v>
      </c>
      <c r="G394" s="388">
        <v>4563</v>
      </c>
    </row>
    <row r="395" spans="1:7" x14ac:dyDescent="0.25">
      <c r="A395" s="388">
        <v>20350</v>
      </c>
      <c r="B395" s="388">
        <v>2011</v>
      </c>
      <c r="C395" s="388">
        <v>2947</v>
      </c>
      <c r="D395" s="388">
        <v>3423</v>
      </c>
      <c r="E395" s="388">
        <v>3824</v>
      </c>
      <c r="F395" s="388">
        <v>4206</v>
      </c>
      <c r="G395" s="388">
        <v>4572</v>
      </c>
    </row>
    <row r="396" spans="1:7" x14ac:dyDescent="0.25">
      <c r="A396" s="388">
        <v>20400</v>
      </c>
      <c r="B396" s="388">
        <v>2014</v>
      </c>
      <c r="C396" s="388">
        <v>2952</v>
      </c>
      <c r="D396" s="388">
        <v>3430</v>
      </c>
      <c r="E396" s="388">
        <v>3832</v>
      </c>
      <c r="F396" s="388">
        <v>4215</v>
      </c>
      <c r="G396" s="388">
        <v>4581</v>
      </c>
    </row>
    <row r="397" spans="1:7" x14ac:dyDescent="0.25">
      <c r="A397" s="388">
        <v>20450</v>
      </c>
      <c r="B397" s="388">
        <v>2017</v>
      </c>
      <c r="C397" s="388">
        <v>2957</v>
      </c>
      <c r="D397" s="388">
        <v>3437</v>
      </c>
      <c r="E397" s="388">
        <v>3839</v>
      </c>
      <c r="F397" s="388">
        <v>4223</v>
      </c>
      <c r="G397" s="388">
        <v>4590</v>
      </c>
    </row>
    <row r="398" spans="1:7" x14ac:dyDescent="0.25">
      <c r="A398" s="388">
        <v>20500</v>
      </c>
      <c r="B398" s="388">
        <v>2020</v>
      </c>
      <c r="C398" s="388">
        <v>2962</v>
      </c>
      <c r="D398" s="388">
        <v>3444</v>
      </c>
      <c r="E398" s="388">
        <v>3847</v>
      </c>
      <c r="F398" s="388">
        <v>4231</v>
      </c>
      <c r="G398" s="388">
        <v>4599</v>
      </c>
    </row>
    <row r="399" spans="1:7" x14ac:dyDescent="0.25">
      <c r="A399" s="388">
        <v>20550</v>
      </c>
      <c r="B399" s="388">
        <v>2023</v>
      </c>
      <c r="C399" s="388">
        <v>2967</v>
      </c>
      <c r="D399" s="388">
        <v>3450</v>
      </c>
      <c r="E399" s="388">
        <v>3854</v>
      </c>
      <c r="F399" s="388">
        <v>4240</v>
      </c>
      <c r="G399" s="388">
        <v>4608</v>
      </c>
    </row>
    <row r="400" spans="1:7" x14ac:dyDescent="0.25">
      <c r="A400" s="388">
        <v>20600</v>
      </c>
      <c r="B400" s="388">
        <v>2026</v>
      </c>
      <c r="C400" s="388">
        <v>2972</v>
      </c>
      <c r="D400" s="388">
        <v>3457</v>
      </c>
      <c r="E400" s="388">
        <v>3862</v>
      </c>
      <c r="F400" s="388">
        <v>4248</v>
      </c>
      <c r="G400" s="388">
        <v>4617</v>
      </c>
    </row>
    <row r="401" spans="1:7" x14ac:dyDescent="0.25">
      <c r="A401" s="388">
        <v>20650</v>
      </c>
      <c r="B401" s="388">
        <v>2029</v>
      </c>
      <c r="C401" s="388">
        <v>2977</v>
      </c>
      <c r="D401" s="388">
        <v>3464</v>
      </c>
      <c r="E401" s="388">
        <v>3869</v>
      </c>
      <c r="F401" s="388">
        <v>4256</v>
      </c>
      <c r="G401" s="388">
        <v>4626</v>
      </c>
    </row>
    <row r="402" spans="1:7" x14ac:dyDescent="0.25">
      <c r="A402" s="388">
        <v>20700</v>
      </c>
      <c r="B402" s="388">
        <v>2032</v>
      </c>
      <c r="C402" s="388">
        <v>2982</v>
      </c>
      <c r="D402" s="388">
        <v>3471</v>
      </c>
      <c r="E402" s="388">
        <v>3877</v>
      </c>
      <c r="F402" s="388">
        <v>4264</v>
      </c>
      <c r="G402" s="388">
        <v>4635</v>
      </c>
    </row>
    <row r="403" spans="1:7" x14ac:dyDescent="0.25">
      <c r="A403" s="388">
        <v>20750</v>
      </c>
      <c r="B403" s="388">
        <v>2035</v>
      </c>
      <c r="C403" s="388">
        <v>2987</v>
      </c>
      <c r="D403" s="388">
        <v>3477</v>
      </c>
      <c r="E403" s="388">
        <v>3884</v>
      </c>
      <c r="F403" s="388">
        <v>4273</v>
      </c>
      <c r="G403" s="388">
        <v>4644</v>
      </c>
    </row>
    <row r="404" spans="1:7" x14ac:dyDescent="0.25">
      <c r="A404" s="388">
        <v>20800</v>
      </c>
      <c r="B404" s="388">
        <v>2038</v>
      </c>
      <c r="C404" s="388">
        <v>2992</v>
      </c>
      <c r="D404" s="388">
        <v>3484</v>
      </c>
      <c r="E404" s="388">
        <v>3892</v>
      </c>
      <c r="F404" s="388">
        <v>4281</v>
      </c>
      <c r="G404" s="388">
        <v>4653</v>
      </c>
    </row>
    <row r="405" spans="1:7" x14ac:dyDescent="0.25">
      <c r="A405" s="388">
        <v>20850</v>
      </c>
      <c r="B405" s="388">
        <v>2041</v>
      </c>
      <c r="C405" s="388">
        <v>2997</v>
      </c>
      <c r="D405" s="388">
        <v>3491</v>
      </c>
      <c r="E405" s="388">
        <v>3899</v>
      </c>
      <c r="F405" s="388">
        <v>4289</v>
      </c>
      <c r="G405" s="388">
        <v>4662</v>
      </c>
    </row>
    <row r="406" spans="1:7" x14ac:dyDescent="0.25">
      <c r="A406" s="388">
        <v>20900</v>
      </c>
      <c r="B406" s="388">
        <v>2043</v>
      </c>
      <c r="C406" s="388">
        <v>3002</v>
      </c>
      <c r="D406" s="388">
        <v>3498</v>
      </c>
      <c r="E406" s="388">
        <v>3907</v>
      </c>
      <c r="F406" s="388">
        <v>4297</v>
      </c>
      <c r="G406" s="388">
        <v>4671</v>
      </c>
    </row>
    <row r="407" spans="1:7" x14ac:dyDescent="0.25">
      <c r="A407" s="388">
        <v>20950</v>
      </c>
      <c r="B407" s="388">
        <v>2046</v>
      </c>
      <c r="C407" s="388">
        <v>3007</v>
      </c>
      <c r="D407" s="388">
        <v>3504</v>
      </c>
      <c r="E407" s="388">
        <v>3914</v>
      </c>
      <c r="F407" s="388">
        <v>4306</v>
      </c>
      <c r="G407" s="388">
        <v>4680</v>
      </c>
    </row>
    <row r="408" spans="1:7" x14ac:dyDescent="0.25">
      <c r="A408" s="388">
        <v>21000</v>
      </c>
      <c r="B408" s="388">
        <v>2049</v>
      </c>
      <c r="C408" s="388">
        <v>3012</v>
      </c>
      <c r="D408" s="388">
        <v>3511</v>
      </c>
      <c r="E408" s="388">
        <v>3922</v>
      </c>
      <c r="F408" s="388">
        <v>4314</v>
      </c>
      <c r="G408" s="388">
        <v>4689</v>
      </c>
    </row>
    <row r="409" spans="1:7" x14ac:dyDescent="0.25">
      <c r="A409" s="388">
        <v>21050</v>
      </c>
      <c r="B409" s="388">
        <v>2052</v>
      </c>
      <c r="C409" s="388">
        <v>3017</v>
      </c>
      <c r="D409" s="388">
        <v>3518</v>
      </c>
      <c r="E409" s="388">
        <v>3929</v>
      </c>
      <c r="F409" s="388">
        <v>4322</v>
      </c>
      <c r="G409" s="388">
        <v>4698</v>
      </c>
    </row>
    <row r="410" spans="1:7" x14ac:dyDescent="0.25">
      <c r="A410" s="388">
        <v>21100</v>
      </c>
      <c r="B410" s="388">
        <v>2055</v>
      </c>
      <c r="C410" s="388">
        <v>3022</v>
      </c>
      <c r="D410" s="388">
        <v>3525</v>
      </c>
      <c r="E410" s="388">
        <v>3937</v>
      </c>
      <c r="F410" s="388">
        <v>4331</v>
      </c>
      <c r="G410" s="388">
        <v>4707</v>
      </c>
    </row>
    <row r="411" spans="1:7" x14ac:dyDescent="0.25">
      <c r="A411" s="388">
        <v>21150</v>
      </c>
      <c r="B411" s="388">
        <v>2058</v>
      </c>
      <c r="C411" s="388">
        <v>3027</v>
      </c>
      <c r="D411" s="388">
        <v>3531</v>
      </c>
      <c r="E411" s="388">
        <v>3944</v>
      </c>
      <c r="F411" s="388">
        <v>4339</v>
      </c>
      <c r="G411" s="388">
        <v>4716</v>
      </c>
    </row>
    <row r="412" spans="1:7" x14ac:dyDescent="0.25">
      <c r="A412" s="388">
        <v>21200</v>
      </c>
      <c r="B412" s="388">
        <v>2061</v>
      </c>
      <c r="C412" s="388">
        <v>3032</v>
      </c>
      <c r="D412" s="388">
        <v>3538</v>
      </c>
      <c r="E412" s="388">
        <v>3952</v>
      </c>
      <c r="F412" s="388">
        <v>4347</v>
      </c>
      <c r="G412" s="388">
        <v>4725</v>
      </c>
    </row>
    <row r="413" spans="1:7" x14ac:dyDescent="0.25">
      <c r="A413" s="388">
        <v>21250</v>
      </c>
      <c r="B413" s="388">
        <v>2064</v>
      </c>
      <c r="C413" s="388">
        <v>3037</v>
      </c>
      <c r="D413" s="388">
        <v>3545</v>
      </c>
      <c r="E413" s="388">
        <v>3959</v>
      </c>
      <c r="F413" s="388">
        <v>4355</v>
      </c>
      <c r="G413" s="388">
        <v>4734</v>
      </c>
    </row>
    <row r="414" spans="1:7" x14ac:dyDescent="0.25">
      <c r="A414" s="388">
        <v>21300</v>
      </c>
      <c r="B414" s="388">
        <v>2067</v>
      </c>
      <c r="C414" s="388">
        <v>3042</v>
      </c>
      <c r="D414" s="388">
        <v>3551</v>
      </c>
      <c r="E414" s="388">
        <v>3967</v>
      </c>
      <c r="F414" s="388">
        <v>4364</v>
      </c>
      <c r="G414" s="388">
        <v>4743</v>
      </c>
    </row>
    <row r="415" spans="1:7" x14ac:dyDescent="0.25">
      <c r="A415" s="388">
        <v>21350</v>
      </c>
      <c r="B415" s="388">
        <v>2070</v>
      </c>
      <c r="C415" s="388">
        <v>3047</v>
      </c>
      <c r="D415" s="388">
        <v>3558</v>
      </c>
      <c r="E415" s="388">
        <v>3974</v>
      </c>
      <c r="F415" s="388">
        <v>4372</v>
      </c>
      <c r="G415" s="388">
        <v>4752</v>
      </c>
    </row>
    <row r="416" spans="1:7" x14ac:dyDescent="0.25">
      <c r="A416" s="388">
        <v>21400</v>
      </c>
      <c r="B416" s="388">
        <v>2072</v>
      </c>
      <c r="C416" s="388">
        <v>3052</v>
      </c>
      <c r="D416" s="388">
        <v>3565</v>
      </c>
      <c r="E416" s="388">
        <v>3982</v>
      </c>
      <c r="F416" s="388">
        <v>4380</v>
      </c>
      <c r="G416" s="388">
        <v>4761</v>
      </c>
    </row>
    <row r="417" spans="1:7" x14ac:dyDescent="0.25">
      <c r="A417" s="388">
        <v>21450</v>
      </c>
      <c r="B417" s="388">
        <v>2075</v>
      </c>
      <c r="C417" s="388">
        <v>3057</v>
      </c>
      <c r="D417" s="388">
        <v>3572</v>
      </c>
      <c r="E417" s="388">
        <v>3990</v>
      </c>
      <c r="F417" s="388">
        <v>4388</v>
      </c>
      <c r="G417" s="388">
        <v>4770</v>
      </c>
    </row>
    <row r="418" spans="1:7" x14ac:dyDescent="0.25">
      <c r="A418" s="388">
        <v>21500</v>
      </c>
      <c r="B418" s="388">
        <v>2078</v>
      </c>
      <c r="C418" s="388">
        <v>3062</v>
      </c>
      <c r="D418" s="388">
        <v>3578</v>
      </c>
      <c r="E418" s="388">
        <v>3997</v>
      </c>
      <c r="F418" s="388">
        <v>4397</v>
      </c>
      <c r="G418" s="388">
        <v>4779</v>
      </c>
    </row>
    <row r="419" spans="1:7" x14ac:dyDescent="0.25">
      <c r="A419" s="388">
        <v>21550</v>
      </c>
      <c r="B419" s="388">
        <v>2081</v>
      </c>
      <c r="C419" s="388">
        <v>3067</v>
      </c>
      <c r="D419" s="388">
        <v>3585</v>
      </c>
      <c r="E419" s="388">
        <v>4005</v>
      </c>
      <c r="F419" s="388">
        <v>4405</v>
      </c>
      <c r="G419" s="388">
        <v>4788</v>
      </c>
    </row>
    <row r="420" spans="1:7" x14ac:dyDescent="0.25">
      <c r="A420" s="388">
        <v>21600</v>
      </c>
      <c r="B420" s="388">
        <v>2084</v>
      </c>
      <c r="C420" s="388">
        <v>3072</v>
      </c>
      <c r="D420" s="388">
        <v>3592</v>
      </c>
      <c r="E420" s="388">
        <v>4012</v>
      </c>
      <c r="F420" s="388">
        <v>4413</v>
      </c>
      <c r="G420" s="388">
        <v>4797</v>
      </c>
    </row>
    <row r="421" spans="1:7" x14ac:dyDescent="0.25">
      <c r="A421" s="388">
        <v>21650</v>
      </c>
      <c r="B421" s="388">
        <v>2087</v>
      </c>
      <c r="C421" s="388">
        <v>3077</v>
      </c>
      <c r="D421" s="388">
        <v>3599</v>
      </c>
      <c r="E421" s="388">
        <v>4020</v>
      </c>
      <c r="F421" s="388">
        <v>4422</v>
      </c>
      <c r="G421" s="388">
        <v>4806</v>
      </c>
    </row>
    <row r="422" spans="1:7" x14ac:dyDescent="0.25">
      <c r="A422" s="388">
        <v>21700</v>
      </c>
      <c r="B422" s="388">
        <v>2090</v>
      </c>
      <c r="C422" s="388">
        <v>3082</v>
      </c>
      <c r="D422" s="388">
        <v>3605</v>
      </c>
      <c r="E422" s="388">
        <v>4027</v>
      </c>
      <c r="F422" s="388">
        <v>4430</v>
      </c>
      <c r="G422" s="388">
        <v>4815</v>
      </c>
    </row>
    <row r="423" spans="1:7" x14ac:dyDescent="0.25">
      <c r="A423" s="388">
        <v>21750</v>
      </c>
      <c r="B423" s="388">
        <v>2093</v>
      </c>
      <c r="C423" s="388">
        <v>3087</v>
      </c>
      <c r="D423" s="388">
        <v>3612</v>
      </c>
      <c r="E423" s="388">
        <v>4035</v>
      </c>
      <c r="F423" s="388">
        <v>4438</v>
      </c>
      <c r="G423" s="388">
        <v>4824</v>
      </c>
    </row>
    <row r="424" spans="1:7" x14ac:dyDescent="0.25">
      <c r="A424" s="388">
        <v>21800</v>
      </c>
      <c r="B424" s="388">
        <v>2096</v>
      </c>
      <c r="C424" s="388">
        <v>3092</v>
      </c>
      <c r="D424" s="388">
        <v>3619</v>
      </c>
      <c r="E424" s="388">
        <v>4042</v>
      </c>
      <c r="F424" s="388">
        <v>4446</v>
      </c>
      <c r="G424" s="388">
        <v>4833</v>
      </c>
    </row>
    <row r="425" spans="1:7" x14ac:dyDescent="0.25">
      <c r="A425" s="388">
        <v>21850</v>
      </c>
      <c r="B425" s="388">
        <v>2099</v>
      </c>
      <c r="C425" s="388">
        <v>3097</v>
      </c>
      <c r="D425" s="388">
        <v>3626</v>
      </c>
      <c r="E425" s="388">
        <v>4050</v>
      </c>
      <c r="F425" s="388">
        <v>4455</v>
      </c>
      <c r="G425" s="388">
        <v>4842</v>
      </c>
    </row>
    <row r="426" spans="1:7" x14ac:dyDescent="0.25">
      <c r="A426" s="388">
        <v>21900</v>
      </c>
      <c r="B426" s="388">
        <v>2102</v>
      </c>
      <c r="C426" s="388">
        <v>3102</v>
      </c>
      <c r="D426" s="388">
        <v>3632</v>
      </c>
      <c r="E426" s="388">
        <v>4057</v>
      </c>
      <c r="F426" s="388">
        <v>4463</v>
      </c>
      <c r="G426" s="388">
        <v>4851</v>
      </c>
    </row>
    <row r="427" spans="1:7" x14ac:dyDescent="0.25">
      <c r="A427" s="388">
        <v>21950</v>
      </c>
      <c r="B427" s="388">
        <v>2104</v>
      </c>
      <c r="C427" s="388">
        <v>3107</v>
      </c>
      <c r="D427" s="388">
        <v>3639</v>
      </c>
      <c r="E427" s="388">
        <v>4065</v>
      </c>
      <c r="F427" s="388">
        <v>4471</v>
      </c>
      <c r="G427" s="388">
        <v>4860</v>
      </c>
    </row>
    <row r="428" spans="1:7" x14ac:dyDescent="0.25">
      <c r="A428" s="388">
        <v>22000</v>
      </c>
      <c r="B428" s="388">
        <v>2107</v>
      </c>
      <c r="C428" s="388">
        <v>3112</v>
      </c>
      <c r="D428" s="388">
        <v>3646</v>
      </c>
      <c r="E428" s="388">
        <v>4072</v>
      </c>
      <c r="F428" s="388">
        <v>4479</v>
      </c>
      <c r="G428" s="388">
        <v>4869</v>
      </c>
    </row>
    <row r="429" spans="1:7" x14ac:dyDescent="0.25">
      <c r="A429" s="388">
        <v>22050</v>
      </c>
      <c r="B429" s="388">
        <v>2110</v>
      </c>
      <c r="C429" s="388">
        <v>3117</v>
      </c>
      <c r="D429" s="388">
        <v>3652</v>
      </c>
      <c r="E429" s="388">
        <v>4080</v>
      </c>
      <c r="F429" s="388">
        <v>4488</v>
      </c>
      <c r="G429" s="388">
        <v>4878</v>
      </c>
    </row>
    <row r="430" spans="1:7" x14ac:dyDescent="0.25">
      <c r="A430" s="388">
        <v>22100</v>
      </c>
      <c r="B430" s="388">
        <v>2113</v>
      </c>
      <c r="C430" s="388">
        <v>3122</v>
      </c>
      <c r="D430" s="388">
        <v>3659</v>
      </c>
      <c r="E430" s="388">
        <v>4087</v>
      </c>
      <c r="F430" s="388">
        <v>4496</v>
      </c>
      <c r="G430" s="388">
        <v>4887</v>
      </c>
    </row>
    <row r="431" spans="1:7" x14ac:dyDescent="0.25">
      <c r="A431" s="388">
        <v>22150</v>
      </c>
      <c r="B431" s="388">
        <v>2116</v>
      </c>
      <c r="C431" s="388">
        <v>3127</v>
      </c>
      <c r="D431" s="388">
        <v>3666</v>
      </c>
      <c r="E431" s="388">
        <v>4095</v>
      </c>
      <c r="F431" s="388">
        <v>4504</v>
      </c>
      <c r="G431" s="388">
        <v>4896</v>
      </c>
    </row>
    <row r="432" spans="1:7" x14ac:dyDescent="0.25">
      <c r="A432" s="388">
        <v>22200</v>
      </c>
      <c r="B432" s="388">
        <v>2119</v>
      </c>
      <c r="C432" s="388">
        <v>3132</v>
      </c>
      <c r="D432" s="388">
        <v>3673</v>
      </c>
      <c r="E432" s="388">
        <v>4102</v>
      </c>
      <c r="F432" s="388">
        <v>4513</v>
      </c>
      <c r="G432" s="388">
        <v>4905</v>
      </c>
    </row>
    <row r="433" spans="1:7" x14ac:dyDescent="0.25">
      <c r="A433" s="388">
        <v>22250</v>
      </c>
      <c r="B433" s="388">
        <v>2122</v>
      </c>
      <c r="C433" s="388">
        <v>3137</v>
      </c>
      <c r="D433" s="388">
        <v>3679</v>
      </c>
      <c r="E433" s="388">
        <v>4110</v>
      </c>
      <c r="F433" s="388">
        <v>4521</v>
      </c>
      <c r="G433" s="388">
        <v>4914</v>
      </c>
    </row>
    <row r="434" spans="1:7" x14ac:dyDescent="0.25">
      <c r="A434" s="388">
        <v>22300</v>
      </c>
      <c r="B434" s="388">
        <v>2125</v>
      </c>
      <c r="C434" s="388">
        <v>3142</v>
      </c>
      <c r="D434" s="388">
        <v>3686</v>
      </c>
      <c r="E434" s="388">
        <v>4117</v>
      </c>
      <c r="F434" s="388">
        <v>4529</v>
      </c>
      <c r="G434" s="388">
        <v>4923</v>
      </c>
    </row>
    <row r="435" spans="1:7" x14ac:dyDescent="0.25">
      <c r="A435" s="388">
        <v>22350</v>
      </c>
      <c r="B435" s="388">
        <v>2128</v>
      </c>
      <c r="C435" s="388">
        <v>3147</v>
      </c>
      <c r="D435" s="388">
        <v>3693</v>
      </c>
      <c r="E435" s="388">
        <v>4125</v>
      </c>
      <c r="F435" s="388">
        <v>4537</v>
      </c>
      <c r="G435" s="388">
        <v>4932</v>
      </c>
    </row>
    <row r="436" spans="1:7" x14ac:dyDescent="0.25">
      <c r="A436" s="388">
        <v>22400</v>
      </c>
      <c r="B436" s="388">
        <v>2131</v>
      </c>
      <c r="C436" s="388">
        <v>3152</v>
      </c>
      <c r="D436" s="388">
        <v>3700</v>
      </c>
      <c r="E436" s="388">
        <v>4132</v>
      </c>
      <c r="F436" s="388">
        <v>4546</v>
      </c>
      <c r="G436" s="388">
        <v>4941</v>
      </c>
    </row>
    <row r="437" spans="1:7" x14ac:dyDescent="0.25">
      <c r="A437" s="388">
        <v>22450</v>
      </c>
      <c r="B437" s="388">
        <v>2134</v>
      </c>
      <c r="C437" s="388">
        <v>3157</v>
      </c>
      <c r="D437" s="388">
        <v>3706</v>
      </c>
      <c r="E437" s="388">
        <v>4140</v>
      </c>
      <c r="F437" s="388">
        <v>4554</v>
      </c>
      <c r="G437" s="388">
        <v>4950</v>
      </c>
    </row>
    <row r="438" spans="1:7" x14ac:dyDescent="0.25">
      <c r="A438" s="388">
        <v>22500</v>
      </c>
      <c r="B438" s="388">
        <v>2136</v>
      </c>
      <c r="C438" s="388">
        <v>3162</v>
      </c>
      <c r="D438" s="388">
        <v>3713</v>
      </c>
      <c r="E438" s="388">
        <v>4147</v>
      </c>
      <c r="F438" s="388">
        <v>4562</v>
      </c>
      <c r="G438" s="388">
        <v>4959</v>
      </c>
    </row>
    <row r="439" spans="1:7" x14ac:dyDescent="0.25">
      <c r="A439" s="388">
        <v>22550</v>
      </c>
      <c r="B439" s="388">
        <v>2139</v>
      </c>
      <c r="C439" s="388">
        <v>3167</v>
      </c>
      <c r="D439" s="388">
        <v>3720</v>
      </c>
      <c r="E439" s="388">
        <v>4155</v>
      </c>
      <c r="F439" s="388">
        <v>4571</v>
      </c>
      <c r="G439" s="388">
        <v>4968</v>
      </c>
    </row>
    <row r="440" spans="1:7" x14ac:dyDescent="0.25">
      <c r="A440" s="388">
        <v>22600</v>
      </c>
      <c r="B440" s="388">
        <v>2142</v>
      </c>
      <c r="C440" s="388">
        <v>3172</v>
      </c>
      <c r="D440" s="388">
        <v>3727</v>
      </c>
      <c r="E440" s="388">
        <v>4163</v>
      </c>
      <c r="F440" s="388">
        <v>4579</v>
      </c>
      <c r="G440" s="388">
        <v>4977</v>
      </c>
    </row>
    <row r="441" spans="1:7" x14ac:dyDescent="0.25">
      <c r="A441" s="388">
        <v>22650</v>
      </c>
      <c r="B441" s="388">
        <v>2145</v>
      </c>
      <c r="C441" s="388">
        <v>3177</v>
      </c>
      <c r="D441" s="388">
        <v>3733</v>
      </c>
      <c r="E441" s="388">
        <v>4170</v>
      </c>
      <c r="F441" s="388">
        <v>4587</v>
      </c>
      <c r="G441" s="388">
        <v>4986</v>
      </c>
    </row>
    <row r="442" spans="1:7" x14ac:dyDescent="0.25">
      <c r="A442" s="388">
        <v>22700</v>
      </c>
      <c r="B442" s="388">
        <v>2148</v>
      </c>
      <c r="C442" s="388">
        <v>3182</v>
      </c>
      <c r="D442" s="388">
        <v>3740</v>
      </c>
      <c r="E442" s="388">
        <v>4178</v>
      </c>
      <c r="F442" s="388">
        <v>4595</v>
      </c>
      <c r="G442" s="388">
        <v>4995</v>
      </c>
    </row>
    <row r="443" spans="1:7" x14ac:dyDescent="0.25">
      <c r="A443" s="388">
        <v>22750</v>
      </c>
      <c r="B443" s="388">
        <v>2151</v>
      </c>
      <c r="C443" s="388">
        <v>3187</v>
      </c>
      <c r="D443" s="388">
        <v>3747</v>
      </c>
      <c r="E443" s="388">
        <v>4185</v>
      </c>
      <c r="F443" s="388">
        <v>4604</v>
      </c>
      <c r="G443" s="388">
        <v>5004</v>
      </c>
    </row>
    <row r="444" spans="1:7" x14ac:dyDescent="0.25">
      <c r="A444" s="388">
        <v>22800</v>
      </c>
      <c r="B444" s="388">
        <v>2154</v>
      </c>
      <c r="C444" s="388">
        <v>3192</v>
      </c>
      <c r="D444" s="388">
        <v>3753</v>
      </c>
      <c r="E444" s="388">
        <v>4193</v>
      </c>
      <c r="F444" s="388">
        <v>4612</v>
      </c>
      <c r="G444" s="388">
        <v>5013</v>
      </c>
    </row>
    <row r="445" spans="1:7" x14ac:dyDescent="0.25">
      <c r="A445" s="388">
        <v>22850</v>
      </c>
      <c r="B445" s="388">
        <v>2157</v>
      </c>
      <c r="C445" s="388">
        <v>3197</v>
      </c>
      <c r="D445" s="388">
        <v>3760</v>
      </c>
      <c r="E445" s="388">
        <v>4200</v>
      </c>
      <c r="F445" s="388">
        <v>4620</v>
      </c>
      <c r="G445" s="388">
        <v>5022</v>
      </c>
    </row>
    <row r="446" spans="1:7" x14ac:dyDescent="0.25">
      <c r="A446" s="388">
        <v>22900</v>
      </c>
      <c r="B446" s="388">
        <v>2160</v>
      </c>
      <c r="C446" s="388">
        <v>3202</v>
      </c>
      <c r="D446" s="388">
        <v>3767</v>
      </c>
      <c r="E446" s="388">
        <v>4208</v>
      </c>
      <c r="F446" s="388">
        <v>4628</v>
      </c>
      <c r="G446" s="388">
        <v>5031</v>
      </c>
    </row>
    <row r="447" spans="1:7" x14ac:dyDescent="0.25">
      <c r="A447" s="388">
        <v>22950</v>
      </c>
      <c r="B447" s="388">
        <v>2163</v>
      </c>
      <c r="C447" s="388">
        <v>3207</v>
      </c>
      <c r="D447" s="388">
        <v>3774</v>
      </c>
      <c r="E447" s="388">
        <v>4215</v>
      </c>
      <c r="F447" s="388">
        <v>4637</v>
      </c>
      <c r="G447" s="388">
        <v>5040</v>
      </c>
    </row>
    <row r="448" spans="1:7" x14ac:dyDescent="0.25">
      <c r="A448" s="388">
        <v>23000</v>
      </c>
      <c r="B448" s="388">
        <v>2165</v>
      </c>
      <c r="C448" s="388">
        <v>3212</v>
      </c>
      <c r="D448" s="388">
        <v>3780</v>
      </c>
      <c r="E448" s="388">
        <v>4223</v>
      </c>
      <c r="F448" s="388">
        <v>4645</v>
      </c>
      <c r="G448" s="388">
        <v>5049</v>
      </c>
    </row>
    <row r="449" spans="1:7" x14ac:dyDescent="0.25">
      <c r="A449" s="388">
        <v>23050</v>
      </c>
      <c r="B449" s="388">
        <v>2168</v>
      </c>
      <c r="C449" s="388">
        <v>3217</v>
      </c>
      <c r="D449" s="388">
        <v>3787</v>
      </c>
      <c r="E449" s="388">
        <v>4230</v>
      </c>
      <c r="F449" s="388">
        <v>4653</v>
      </c>
      <c r="G449" s="388">
        <v>5058</v>
      </c>
    </row>
    <row r="450" spans="1:7" x14ac:dyDescent="0.25">
      <c r="A450" s="388">
        <v>23100</v>
      </c>
      <c r="B450" s="388">
        <v>2171</v>
      </c>
      <c r="C450" s="388">
        <v>3222</v>
      </c>
      <c r="D450" s="388">
        <v>3794</v>
      </c>
      <c r="E450" s="388">
        <v>4238</v>
      </c>
      <c r="F450" s="388">
        <v>4662</v>
      </c>
      <c r="G450" s="388">
        <v>5067</v>
      </c>
    </row>
    <row r="451" spans="1:7" x14ac:dyDescent="0.25">
      <c r="A451" s="388">
        <v>23150</v>
      </c>
      <c r="B451" s="388">
        <v>2174</v>
      </c>
      <c r="C451" s="388">
        <v>3227</v>
      </c>
      <c r="D451" s="388">
        <v>3801</v>
      </c>
      <c r="E451" s="388">
        <v>4245</v>
      </c>
      <c r="F451" s="388">
        <v>4670</v>
      </c>
      <c r="G451" s="388">
        <v>5076</v>
      </c>
    </row>
    <row r="452" spans="1:7" x14ac:dyDescent="0.25">
      <c r="A452" s="388">
        <v>23200</v>
      </c>
      <c r="B452" s="388">
        <v>2177</v>
      </c>
      <c r="C452" s="388">
        <v>3232</v>
      </c>
      <c r="D452" s="388">
        <v>3807</v>
      </c>
      <c r="E452" s="388">
        <v>4253</v>
      </c>
      <c r="F452" s="388">
        <v>4678</v>
      </c>
      <c r="G452" s="388">
        <v>5085</v>
      </c>
    </row>
    <row r="453" spans="1:7" x14ac:dyDescent="0.25">
      <c r="A453" s="388">
        <v>23250</v>
      </c>
      <c r="B453" s="388">
        <v>2180</v>
      </c>
      <c r="C453" s="388">
        <v>3237</v>
      </c>
      <c r="D453" s="388">
        <v>3814</v>
      </c>
      <c r="E453" s="388">
        <v>4260</v>
      </c>
      <c r="F453" s="388">
        <v>4686</v>
      </c>
      <c r="G453" s="388">
        <v>5094</v>
      </c>
    </row>
    <row r="454" spans="1:7" x14ac:dyDescent="0.25">
      <c r="A454" s="388">
        <v>23300</v>
      </c>
      <c r="B454" s="388">
        <v>2183</v>
      </c>
      <c r="C454" s="388">
        <v>3242</v>
      </c>
      <c r="D454" s="388">
        <v>3821</v>
      </c>
      <c r="E454" s="388">
        <v>4268</v>
      </c>
      <c r="F454" s="388">
        <v>4695</v>
      </c>
      <c r="G454" s="388">
        <v>5103</v>
      </c>
    </row>
    <row r="455" spans="1:7" x14ac:dyDescent="0.25">
      <c r="A455" s="388">
        <v>23350</v>
      </c>
      <c r="B455" s="388">
        <v>2186</v>
      </c>
      <c r="C455" s="388">
        <v>3247</v>
      </c>
      <c r="D455" s="388">
        <v>3828</v>
      </c>
      <c r="E455" s="388">
        <v>4275</v>
      </c>
      <c r="F455" s="388">
        <v>4703</v>
      </c>
      <c r="G455" s="388">
        <v>5112</v>
      </c>
    </row>
    <row r="456" spans="1:7" x14ac:dyDescent="0.25">
      <c r="A456" s="388">
        <v>23400</v>
      </c>
      <c r="B456" s="388">
        <v>2189</v>
      </c>
      <c r="C456" s="388">
        <v>3252</v>
      </c>
      <c r="D456" s="388">
        <v>3834</v>
      </c>
      <c r="E456" s="388">
        <v>4283</v>
      </c>
      <c r="F456" s="388">
        <v>4711</v>
      </c>
      <c r="G456" s="388">
        <v>5121</v>
      </c>
    </row>
    <row r="457" spans="1:7" x14ac:dyDescent="0.25">
      <c r="A457" s="388">
        <v>23450</v>
      </c>
      <c r="B457" s="388">
        <v>2192</v>
      </c>
      <c r="C457" s="388">
        <v>3257</v>
      </c>
      <c r="D457" s="388">
        <v>3841</v>
      </c>
      <c r="E457" s="388">
        <v>4290</v>
      </c>
      <c r="F457" s="388">
        <v>4719</v>
      </c>
      <c r="G457" s="388">
        <v>5130</v>
      </c>
    </row>
    <row r="458" spans="1:7" x14ac:dyDescent="0.25">
      <c r="A458" s="388">
        <v>23500</v>
      </c>
      <c r="B458" s="388">
        <v>2195</v>
      </c>
      <c r="C458" s="388">
        <v>3262</v>
      </c>
      <c r="D458" s="388">
        <v>3848</v>
      </c>
      <c r="E458" s="388">
        <v>4298</v>
      </c>
      <c r="F458" s="388">
        <v>4728</v>
      </c>
      <c r="G458" s="388">
        <v>5139</v>
      </c>
    </row>
    <row r="459" spans="1:7" x14ac:dyDescent="0.25">
      <c r="A459" s="388">
        <v>23550</v>
      </c>
      <c r="B459" s="388">
        <v>2197</v>
      </c>
      <c r="C459" s="388">
        <v>3267</v>
      </c>
      <c r="D459" s="388">
        <v>3854</v>
      </c>
      <c r="E459" s="388">
        <v>4305</v>
      </c>
      <c r="F459" s="388">
        <v>4736</v>
      </c>
      <c r="G459" s="388">
        <v>5148</v>
      </c>
    </row>
    <row r="460" spans="1:7" x14ac:dyDescent="0.25">
      <c r="A460" s="388">
        <v>23600</v>
      </c>
      <c r="B460" s="388">
        <v>2200</v>
      </c>
      <c r="C460" s="388">
        <v>3272</v>
      </c>
      <c r="D460" s="388">
        <v>3861</v>
      </c>
      <c r="E460" s="388">
        <v>4313</v>
      </c>
      <c r="F460" s="388">
        <v>4744</v>
      </c>
      <c r="G460" s="388">
        <v>5157</v>
      </c>
    </row>
    <row r="461" spans="1:7" x14ac:dyDescent="0.25">
      <c r="A461" s="388">
        <v>23650</v>
      </c>
      <c r="B461" s="388">
        <v>2203</v>
      </c>
      <c r="C461" s="388">
        <v>3277</v>
      </c>
      <c r="D461" s="388">
        <v>3868</v>
      </c>
      <c r="E461" s="388">
        <v>4320</v>
      </c>
      <c r="F461" s="388">
        <v>4753</v>
      </c>
      <c r="G461" s="388">
        <v>5166</v>
      </c>
    </row>
    <row r="462" spans="1:7" x14ac:dyDescent="0.25">
      <c r="A462" s="388">
        <v>23700</v>
      </c>
      <c r="B462" s="388">
        <v>2206</v>
      </c>
      <c r="C462" s="388">
        <v>3282</v>
      </c>
      <c r="D462" s="388">
        <v>3875</v>
      </c>
      <c r="E462" s="388">
        <v>4328</v>
      </c>
      <c r="F462" s="388">
        <v>4761</v>
      </c>
      <c r="G462" s="388">
        <v>5175</v>
      </c>
    </row>
    <row r="463" spans="1:7" x14ac:dyDescent="0.25">
      <c r="A463" s="388">
        <v>23750</v>
      </c>
      <c r="B463" s="388">
        <v>2209</v>
      </c>
      <c r="C463" s="388">
        <v>3287</v>
      </c>
      <c r="D463" s="388">
        <v>3881</v>
      </c>
      <c r="E463" s="388">
        <v>4336</v>
      </c>
      <c r="F463" s="388">
        <v>4769</v>
      </c>
      <c r="G463" s="388">
        <v>5184</v>
      </c>
    </row>
    <row r="464" spans="1:7" x14ac:dyDescent="0.25">
      <c r="A464" s="388">
        <v>23800</v>
      </c>
      <c r="B464" s="388">
        <v>2212</v>
      </c>
      <c r="C464" s="388">
        <v>3292</v>
      </c>
      <c r="D464" s="388">
        <v>3888</v>
      </c>
      <c r="E464" s="388">
        <v>4343</v>
      </c>
      <c r="F464" s="388">
        <v>4777</v>
      </c>
      <c r="G464" s="388">
        <v>5193</v>
      </c>
    </row>
    <row r="465" spans="1:7" x14ac:dyDescent="0.25">
      <c r="A465" s="388">
        <v>23850</v>
      </c>
      <c r="B465" s="388">
        <v>2215</v>
      </c>
      <c r="C465" s="388">
        <v>3297</v>
      </c>
      <c r="D465" s="388">
        <v>3895</v>
      </c>
      <c r="E465" s="388">
        <v>4351</v>
      </c>
      <c r="F465" s="388">
        <v>4786</v>
      </c>
      <c r="G465" s="388">
        <v>5202</v>
      </c>
    </row>
    <row r="466" spans="1:7" x14ac:dyDescent="0.25">
      <c r="A466" s="388">
        <v>23900</v>
      </c>
      <c r="B466" s="388">
        <v>2218</v>
      </c>
      <c r="C466" s="388">
        <v>3302</v>
      </c>
      <c r="D466" s="388">
        <v>3902</v>
      </c>
      <c r="E466" s="388">
        <v>4358</v>
      </c>
      <c r="F466" s="388">
        <v>4794</v>
      </c>
      <c r="G466" s="388">
        <v>5211</v>
      </c>
    </row>
    <row r="467" spans="1:7" x14ac:dyDescent="0.25">
      <c r="A467" s="388">
        <v>23950</v>
      </c>
      <c r="B467" s="388">
        <v>2221</v>
      </c>
      <c r="C467" s="388">
        <v>3307</v>
      </c>
      <c r="D467" s="388">
        <v>3908</v>
      </c>
      <c r="E467" s="388">
        <v>4366</v>
      </c>
      <c r="F467" s="388">
        <v>4802</v>
      </c>
      <c r="G467" s="388">
        <v>5220</v>
      </c>
    </row>
    <row r="468" spans="1:7" x14ac:dyDescent="0.25">
      <c r="A468" s="388">
        <v>24000</v>
      </c>
      <c r="B468" s="388">
        <v>2224</v>
      </c>
      <c r="C468" s="388">
        <v>3312</v>
      </c>
      <c r="D468" s="388">
        <v>3915</v>
      </c>
      <c r="E468" s="388">
        <v>4373</v>
      </c>
      <c r="F468" s="388">
        <v>4810</v>
      </c>
      <c r="G468" s="388">
        <v>5229</v>
      </c>
    </row>
    <row r="469" spans="1:7" x14ac:dyDescent="0.25">
      <c r="A469" s="388">
        <v>24050</v>
      </c>
      <c r="B469" s="388">
        <v>2227</v>
      </c>
      <c r="C469" s="388">
        <v>3317</v>
      </c>
      <c r="D469" s="388">
        <v>3922</v>
      </c>
      <c r="E469" s="388">
        <v>4381</v>
      </c>
      <c r="F469" s="388">
        <v>4819</v>
      </c>
      <c r="G469" s="388">
        <v>5238</v>
      </c>
    </row>
    <row r="470" spans="1:7" x14ac:dyDescent="0.25">
      <c r="A470" s="388">
        <v>24100</v>
      </c>
      <c r="B470" s="388">
        <v>2229</v>
      </c>
      <c r="C470" s="388">
        <v>3322</v>
      </c>
      <c r="D470" s="388">
        <v>3929</v>
      </c>
      <c r="E470" s="388">
        <v>4388</v>
      </c>
      <c r="F470" s="388">
        <v>4827</v>
      </c>
      <c r="G470" s="388">
        <v>5247</v>
      </c>
    </row>
    <row r="471" spans="1:7" x14ac:dyDescent="0.25">
      <c r="A471" s="388">
        <v>24150</v>
      </c>
      <c r="B471" s="388">
        <v>2232</v>
      </c>
      <c r="C471" s="388">
        <v>3327</v>
      </c>
      <c r="D471" s="388">
        <v>3935</v>
      </c>
      <c r="E471" s="388">
        <v>4396</v>
      </c>
      <c r="F471" s="388">
        <v>4835</v>
      </c>
      <c r="G471" s="388">
        <v>5256</v>
      </c>
    </row>
    <row r="472" spans="1:7" x14ac:dyDescent="0.25">
      <c r="A472" s="388">
        <v>24200</v>
      </c>
      <c r="B472" s="388">
        <v>2235</v>
      </c>
      <c r="C472" s="388">
        <v>3332</v>
      </c>
      <c r="D472" s="388">
        <v>3942</v>
      </c>
      <c r="E472" s="388">
        <v>4403</v>
      </c>
      <c r="F472" s="388">
        <v>4844</v>
      </c>
      <c r="G472" s="388">
        <v>5265</v>
      </c>
    </row>
    <row r="473" spans="1:7" x14ac:dyDescent="0.25">
      <c r="A473" s="388">
        <v>24250</v>
      </c>
      <c r="B473" s="388">
        <v>2238</v>
      </c>
      <c r="C473" s="388">
        <v>3337</v>
      </c>
      <c r="D473" s="388">
        <v>3949</v>
      </c>
      <c r="E473" s="388">
        <v>4411</v>
      </c>
      <c r="F473" s="388">
        <v>4852</v>
      </c>
      <c r="G473" s="388">
        <v>5274</v>
      </c>
    </row>
    <row r="474" spans="1:7" x14ac:dyDescent="0.25">
      <c r="A474" s="388">
        <v>24300</v>
      </c>
      <c r="B474" s="388">
        <v>2241</v>
      </c>
      <c r="C474" s="388">
        <v>3342</v>
      </c>
      <c r="D474" s="388">
        <v>3955</v>
      </c>
      <c r="E474" s="388">
        <v>4418</v>
      </c>
      <c r="F474" s="388">
        <v>4860</v>
      </c>
      <c r="G474" s="388">
        <v>5283</v>
      </c>
    </row>
    <row r="475" spans="1:7" x14ac:dyDescent="0.25">
      <c r="A475" s="388">
        <v>24350</v>
      </c>
      <c r="B475" s="388">
        <v>2244</v>
      </c>
      <c r="C475" s="388">
        <v>3347</v>
      </c>
      <c r="D475" s="388">
        <v>3962</v>
      </c>
      <c r="E475" s="388">
        <v>4426</v>
      </c>
      <c r="F475" s="388">
        <v>4868</v>
      </c>
      <c r="G475" s="388">
        <v>5292</v>
      </c>
    </row>
    <row r="476" spans="1:7" x14ac:dyDescent="0.25">
      <c r="A476" s="388">
        <v>24400</v>
      </c>
      <c r="B476" s="388">
        <v>2247</v>
      </c>
      <c r="C476" s="388">
        <v>3352</v>
      </c>
      <c r="D476" s="388">
        <v>3969</v>
      </c>
      <c r="E476" s="388">
        <v>4433</v>
      </c>
      <c r="F476" s="388">
        <v>4877</v>
      </c>
      <c r="G476" s="388">
        <v>5301</v>
      </c>
    </row>
    <row r="477" spans="1:7" x14ac:dyDescent="0.25">
      <c r="A477" s="388">
        <v>24450</v>
      </c>
      <c r="B477" s="388">
        <v>2250</v>
      </c>
      <c r="C477" s="388">
        <v>3357</v>
      </c>
      <c r="D477" s="388">
        <v>3976</v>
      </c>
      <c r="E477" s="388">
        <v>4441</v>
      </c>
      <c r="F477" s="388">
        <v>4885</v>
      </c>
      <c r="G477" s="388">
        <v>5310</v>
      </c>
    </row>
    <row r="478" spans="1:7" x14ac:dyDescent="0.25">
      <c r="A478" s="388">
        <v>24500</v>
      </c>
      <c r="B478" s="388">
        <v>2253</v>
      </c>
      <c r="C478" s="388">
        <v>3362</v>
      </c>
      <c r="D478" s="388">
        <v>3982</v>
      </c>
      <c r="E478" s="388">
        <v>4448</v>
      </c>
      <c r="F478" s="388">
        <v>4893</v>
      </c>
      <c r="G478" s="388">
        <v>5319</v>
      </c>
    </row>
    <row r="479" spans="1:7" x14ac:dyDescent="0.25">
      <c r="A479" s="388">
        <v>24550</v>
      </c>
      <c r="B479" s="388">
        <v>2256</v>
      </c>
      <c r="C479" s="388">
        <v>3367</v>
      </c>
      <c r="D479" s="388">
        <v>3989</v>
      </c>
      <c r="E479" s="388">
        <v>4456</v>
      </c>
      <c r="F479" s="388">
        <v>4901</v>
      </c>
      <c r="G479" s="388">
        <v>5328</v>
      </c>
    </row>
    <row r="480" spans="1:7" x14ac:dyDescent="0.25">
      <c r="A480" s="388">
        <v>24600</v>
      </c>
      <c r="B480" s="388">
        <v>2258</v>
      </c>
      <c r="C480" s="388">
        <v>3372</v>
      </c>
      <c r="D480" s="388">
        <v>3996</v>
      </c>
      <c r="E480" s="388">
        <v>4463</v>
      </c>
      <c r="F480" s="388">
        <v>4910</v>
      </c>
      <c r="G480" s="388">
        <v>5337</v>
      </c>
    </row>
    <row r="481" spans="1:7" x14ac:dyDescent="0.25">
      <c r="A481" s="388">
        <v>24650</v>
      </c>
      <c r="B481" s="388">
        <v>2261</v>
      </c>
      <c r="C481" s="388">
        <v>3377</v>
      </c>
      <c r="D481" s="388">
        <v>4003</v>
      </c>
      <c r="E481" s="388">
        <v>4471</v>
      </c>
      <c r="F481" s="388">
        <v>4918</v>
      </c>
      <c r="G481" s="388">
        <v>5346</v>
      </c>
    </row>
    <row r="482" spans="1:7" x14ac:dyDescent="0.25">
      <c r="A482" s="388">
        <v>24700</v>
      </c>
      <c r="B482" s="388">
        <v>2264</v>
      </c>
      <c r="C482" s="388">
        <v>3382</v>
      </c>
      <c r="D482" s="388">
        <v>4009</v>
      </c>
      <c r="E482" s="388">
        <v>4478</v>
      </c>
      <c r="F482" s="388">
        <v>4926</v>
      </c>
      <c r="G482" s="388">
        <v>5355</v>
      </c>
    </row>
    <row r="483" spans="1:7" x14ac:dyDescent="0.25">
      <c r="A483" s="388">
        <v>24750</v>
      </c>
      <c r="B483" s="388">
        <v>2267</v>
      </c>
      <c r="C483" s="388">
        <v>3387</v>
      </c>
      <c r="D483" s="388">
        <v>4016</v>
      </c>
      <c r="E483" s="388">
        <v>4486</v>
      </c>
      <c r="F483" s="388">
        <v>4935</v>
      </c>
      <c r="G483" s="388">
        <v>5364</v>
      </c>
    </row>
    <row r="484" spans="1:7" x14ac:dyDescent="0.25">
      <c r="A484" s="388">
        <v>24800</v>
      </c>
      <c r="B484" s="388">
        <v>2270</v>
      </c>
      <c r="C484" s="388">
        <v>3392</v>
      </c>
      <c r="D484" s="388">
        <v>4023</v>
      </c>
      <c r="E484" s="388">
        <v>4493</v>
      </c>
      <c r="F484" s="388">
        <v>4943</v>
      </c>
      <c r="G484" s="388">
        <v>5373</v>
      </c>
    </row>
    <row r="485" spans="1:7" x14ac:dyDescent="0.25">
      <c r="A485" s="388">
        <v>24850</v>
      </c>
      <c r="B485" s="388">
        <v>2273</v>
      </c>
      <c r="C485" s="388">
        <v>3397</v>
      </c>
      <c r="D485" s="388">
        <v>4030</v>
      </c>
      <c r="E485" s="388">
        <v>4501</v>
      </c>
      <c r="F485" s="388">
        <v>4951</v>
      </c>
      <c r="G485" s="388">
        <v>5382</v>
      </c>
    </row>
    <row r="486" spans="1:7" x14ac:dyDescent="0.25">
      <c r="A486" s="388">
        <v>24900</v>
      </c>
      <c r="B486" s="388">
        <v>2276</v>
      </c>
      <c r="C486" s="388">
        <v>3402</v>
      </c>
      <c r="D486" s="388">
        <v>4036</v>
      </c>
      <c r="E486" s="388">
        <v>4509</v>
      </c>
      <c r="F486" s="388">
        <v>4959</v>
      </c>
      <c r="G486" s="388">
        <v>5391</v>
      </c>
    </row>
    <row r="487" spans="1:7" x14ac:dyDescent="0.25">
      <c r="A487" s="388">
        <v>24950</v>
      </c>
      <c r="B487" s="388">
        <v>2279</v>
      </c>
      <c r="C487" s="388">
        <v>3407</v>
      </c>
      <c r="D487" s="388">
        <v>4043</v>
      </c>
      <c r="E487" s="388">
        <v>4516</v>
      </c>
      <c r="F487" s="388">
        <v>4968</v>
      </c>
      <c r="G487" s="388">
        <v>5400</v>
      </c>
    </row>
    <row r="488" spans="1:7" x14ac:dyDescent="0.25">
      <c r="A488" s="388">
        <v>25000</v>
      </c>
      <c r="B488" s="388">
        <v>2282</v>
      </c>
      <c r="C488" s="388">
        <v>3412</v>
      </c>
      <c r="D488" s="388">
        <v>4050</v>
      </c>
      <c r="E488" s="388">
        <v>4524</v>
      </c>
      <c r="F488" s="388">
        <v>4976</v>
      </c>
      <c r="G488" s="388">
        <v>5409</v>
      </c>
    </row>
    <row r="489" spans="1:7" x14ac:dyDescent="0.25">
      <c r="A489" s="388">
        <v>25050</v>
      </c>
      <c r="B489" s="388">
        <v>2285</v>
      </c>
      <c r="C489" s="388">
        <v>3416</v>
      </c>
      <c r="D489" s="388">
        <v>4056</v>
      </c>
      <c r="E489" s="388">
        <v>4531</v>
      </c>
      <c r="F489" s="388">
        <v>4984</v>
      </c>
      <c r="G489" s="388">
        <v>5418</v>
      </c>
    </row>
    <row r="490" spans="1:7" x14ac:dyDescent="0.25">
      <c r="A490" s="388">
        <v>25100</v>
      </c>
      <c r="B490" s="388">
        <v>2288</v>
      </c>
      <c r="C490" s="388">
        <v>3421</v>
      </c>
      <c r="D490" s="388">
        <v>4063</v>
      </c>
      <c r="E490" s="388">
        <v>4539</v>
      </c>
      <c r="F490" s="388">
        <v>4992</v>
      </c>
      <c r="G490" s="388">
        <v>5427</v>
      </c>
    </row>
    <row r="491" spans="1:7" x14ac:dyDescent="0.25">
      <c r="A491" s="388">
        <v>25150</v>
      </c>
      <c r="B491" s="388">
        <v>2290</v>
      </c>
      <c r="C491" s="388">
        <v>3426</v>
      </c>
      <c r="D491" s="388">
        <v>4070</v>
      </c>
      <c r="E491" s="388">
        <v>4546</v>
      </c>
      <c r="F491" s="388">
        <v>5001</v>
      </c>
      <c r="G491" s="388">
        <v>5436</v>
      </c>
    </row>
    <row r="492" spans="1:7" x14ac:dyDescent="0.25">
      <c r="A492" s="388">
        <v>25200</v>
      </c>
      <c r="B492" s="388">
        <v>2293</v>
      </c>
      <c r="C492" s="388">
        <v>3431</v>
      </c>
      <c r="D492" s="388">
        <v>4077</v>
      </c>
      <c r="E492" s="388">
        <v>4554</v>
      </c>
      <c r="F492" s="388">
        <v>5009</v>
      </c>
      <c r="G492" s="388">
        <v>5445</v>
      </c>
    </row>
    <row r="493" spans="1:7" x14ac:dyDescent="0.25">
      <c r="A493" s="388">
        <v>25250</v>
      </c>
      <c r="B493" s="388">
        <v>2296</v>
      </c>
      <c r="C493" s="388">
        <v>3436</v>
      </c>
      <c r="D493" s="388">
        <v>4083</v>
      </c>
      <c r="E493" s="388">
        <v>4561</v>
      </c>
      <c r="F493" s="388">
        <v>5017</v>
      </c>
      <c r="G493" s="388">
        <v>5454</v>
      </c>
    </row>
    <row r="494" spans="1:7" x14ac:dyDescent="0.25">
      <c r="A494" s="388">
        <v>25300</v>
      </c>
      <c r="B494" s="388">
        <v>2299</v>
      </c>
      <c r="C494" s="388">
        <v>3441</v>
      </c>
      <c r="D494" s="388">
        <v>4090</v>
      </c>
      <c r="E494" s="388">
        <v>4569</v>
      </c>
      <c r="F494" s="388">
        <v>5026</v>
      </c>
      <c r="G494" s="388">
        <v>5463</v>
      </c>
    </row>
    <row r="495" spans="1:7" x14ac:dyDescent="0.25">
      <c r="A495" s="388">
        <v>25350</v>
      </c>
      <c r="B495" s="388">
        <v>2302</v>
      </c>
      <c r="C495" s="388">
        <v>3446</v>
      </c>
      <c r="D495" s="388">
        <v>4097</v>
      </c>
      <c r="E495" s="388">
        <v>4576</v>
      </c>
      <c r="F495" s="388">
        <v>5034</v>
      </c>
      <c r="G495" s="388">
        <v>5472</v>
      </c>
    </row>
    <row r="496" spans="1:7" x14ac:dyDescent="0.25">
      <c r="A496" s="388">
        <v>25400</v>
      </c>
      <c r="B496" s="388">
        <v>2305</v>
      </c>
      <c r="C496" s="388">
        <v>3451</v>
      </c>
      <c r="D496" s="388">
        <v>4104</v>
      </c>
      <c r="E496" s="388">
        <v>4584</v>
      </c>
      <c r="F496" s="388">
        <v>5042</v>
      </c>
      <c r="G496" s="388">
        <v>5481</v>
      </c>
    </row>
    <row r="497" spans="1:7" x14ac:dyDescent="0.25">
      <c r="A497" s="388">
        <v>25450</v>
      </c>
      <c r="B497" s="388">
        <v>2308</v>
      </c>
      <c r="C497" s="388">
        <v>3456</v>
      </c>
      <c r="D497" s="388">
        <v>4110</v>
      </c>
      <c r="E497" s="388">
        <v>4591</v>
      </c>
      <c r="F497" s="388">
        <v>5050</v>
      </c>
      <c r="G497" s="388">
        <v>5490</v>
      </c>
    </row>
    <row r="498" spans="1:7" x14ac:dyDescent="0.25">
      <c r="A498" s="388">
        <v>25500</v>
      </c>
      <c r="B498" s="388">
        <v>2311</v>
      </c>
      <c r="C498" s="388">
        <v>3461</v>
      </c>
      <c r="D498" s="388">
        <v>4117</v>
      </c>
      <c r="E498" s="388">
        <v>4599</v>
      </c>
      <c r="F498" s="388">
        <v>5059</v>
      </c>
      <c r="G498" s="388">
        <v>5499</v>
      </c>
    </row>
    <row r="499" spans="1:7" x14ac:dyDescent="0.25">
      <c r="A499" s="388">
        <v>25550</v>
      </c>
      <c r="B499" s="388">
        <v>2314</v>
      </c>
      <c r="C499" s="388">
        <v>3466</v>
      </c>
      <c r="D499" s="388">
        <v>4124</v>
      </c>
      <c r="E499" s="388">
        <v>4606</v>
      </c>
      <c r="F499" s="388">
        <v>5067</v>
      </c>
      <c r="G499" s="388">
        <v>5508</v>
      </c>
    </row>
    <row r="500" spans="1:7" x14ac:dyDescent="0.25">
      <c r="A500" s="388">
        <v>25600</v>
      </c>
      <c r="B500" s="388">
        <v>2317</v>
      </c>
      <c r="C500" s="388">
        <v>3471</v>
      </c>
      <c r="D500" s="388">
        <v>4131</v>
      </c>
      <c r="E500" s="388">
        <v>4614</v>
      </c>
      <c r="F500" s="388">
        <v>5075</v>
      </c>
      <c r="G500" s="388">
        <v>5517</v>
      </c>
    </row>
    <row r="501" spans="1:7" x14ac:dyDescent="0.25">
      <c r="A501" s="388">
        <v>25650</v>
      </c>
      <c r="B501" s="388">
        <v>2320</v>
      </c>
      <c r="C501" s="388">
        <v>3476</v>
      </c>
      <c r="D501" s="388">
        <v>4137</v>
      </c>
      <c r="E501" s="388">
        <v>4621</v>
      </c>
      <c r="F501" s="388">
        <v>5084</v>
      </c>
      <c r="G501" s="388">
        <v>5526</v>
      </c>
    </row>
    <row r="502" spans="1:7" x14ac:dyDescent="0.25">
      <c r="A502" s="388">
        <v>25700</v>
      </c>
      <c r="B502" s="388">
        <v>2322</v>
      </c>
      <c r="C502" s="388">
        <v>3481</v>
      </c>
      <c r="D502" s="388">
        <v>4144</v>
      </c>
      <c r="E502" s="388">
        <v>4629</v>
      </c>
      <c r="F502" s="388">
        <v>5092</v>
      </c>
      <c r="G502" s="388">
        <v>5535</v>
      </c>
    </row>
    <row r="503" spans="1:7" x14ac:dyDescent="0.25">
      <c r="A503" s="388">
        <v>25750</v>
      </c>
      <c r="B503" s="388">
        <v>2325</v>
      </c>
      <c r="C503" s="388">
        <v>3486</v>
      </c>
      <c r="D503" s="388">
        <v>4151</v>
      </c>
      <c r="E503" s="388">
        <v>4636</v>
      </c>
      <c r="F503" s="388">
        <v>5100</v>
      </c>
      <c r="G503" s="388">
        <v>5544</v>
      </c>
    </row>
    <row r="504" spans="1:7" x14ac:dyDescent="0.25">
      <c r="A504" s="388">
        <v>25800</v>
      </c>
      <c r="B504" s="388">
        <v>2328</v>
      </c>
      <c r="C504" s="388">
        <v>3491</v>
      </c>
      <c r="D504" s="388">
        <v>4158</v>
      </c>
      <c r="E504" s="388">
        <v>4644</v>
      </c>
      <c r="F504" s="388">
        <v>5108</v>
      </c>
      <c r="G504" s="388">
        <v>5553</v>
      </c>
    </row>
    <row r="505" spans="1:7" x14ac:dyDescent="0.25">
      <c r="A505" s="388">
        <v>25850</v>
      </c>
      <c r="B505" s="388">
        <v>2331</v>
      </c>
      <c r="C505" s="388">
        <v>3496</v>
      </c>
      <c r="D505" s="388">
        <v>4164</v>
      </c>
      <c r="E505" s="388">
        <v>4651</v>
      </c>
      <c r="F505" s="388">
        <v>5117</v>
      </c>
      <c r="G505" s="388">
        <v>5562</v>
      </c>
    </row>
    <row r="506" spans="1:7" x14ac:dyDescent="0.25">
      <c r="A506" s="388">
        <v>25900</v>
      </c>
      <c r="B506" s="388">
        <v>2334</v>
      </c>
      <c r="C506" s="388">
        <v>3501</v>
      </c>
      <c r="D506" s="388">
        <v>4171</v>
      </c>
      <c r="E506" s="388">
        <v>4659</v>
      </c>
      <c r="F506" s="388">
        <v>5125</v>
      </c>
      <c r="G506" s="388">
        <v>5571</v>
      </c>
    </row>
    <row r="507" spans="1:7" x14ac:dyDescent="0.25">
      <c r="A507" s="388">
        <v>25950</v>
      </c>
      <c r="B507" s="388">
        <v>2337</v>
      </c>
      <c r="C507" s="388">
        <v>3506</v>
      </c>
      <c r="D507" s="388">
        <v>4178</v>
      </c>
      <c r="E507" s="388">
        <v>4667</v>
      </c>
      <c r="F507" s="388">
        <v>5133</v>
      </c>
      <c r="G507" s="388">
        <v>5580</v>
      </c>
    </row>
    <row r="508" spans="1:7" x14ac:dyDescent="0.25">
      <c r="A508" s="388">
        <v>26000</v>
      </c>
      <c r="B508" s="388">
        <v>2340</v>
      </c>
      <c r="C508" s="388">
        <v>3511</v>
      </c>
      <c r="D508" s="388">
        <v>4184</v>
      </c>
      <c r="E508" s="388">
        <v>4674</v>
      </c>
      <c r="F508" s="388">
        <v>5141</v>
      </c>
      <c r="G508" s="388">
        <v>5589</v>
      </c>
    </row>
    <row r="509" spans="1:7" x14ac:dyDescent="0.25">
      <c r="A509" s="388">
        <v>26050</v>
      </c>
      <c r="B509" s="388">
        <v>2343</v>
      </c>
      <c r="C509" s="388">
        <v>3516</v>
      </c>
      <c r="D509" s="388">
        <v>4191</v>
      </c>
      <c r="E509" s="388">
        <v>4682</v>
      </c>
      <c r="F509" s="388">
        <v>5150</v>
      </c>
      <c r="G509" s="388">
        <v>5598</v>
      </c>
    </row>
    <row r="510" spans="1:7" x14ac:dyDescent="0.25">
      <c r="A510" s="388">
        <v>26100</v>
      </c>
      <c r="B510" s="388">
        <v>2346</v>
      </c>
      <c r="C510" s="388">
        <v>3521</v>
      </c>
      <c r="D510" s="388">
        <v>4198</v>
      </c>
      <c r="E510" s="388">
        <v>4689</v>
      </c>
      <c r="F510" s="388">
        <v>5158</v>
      </c>
      <c r="G510" s="388">
        <v>5607</v>
      </c>
    </row>
    <row r="511" spans="1:7" x14ac:dyDescent="0.25">
      <c r="A511" s="388">
        <v>26150</v>
      </c>
      <c r="B511" s="388">
        <v>2349</v>
      </c>
      <c r="C511" s="388">
        <v>3526</v>
      </c>
      <c r="D511" s="388">
        <v>4205</v>
      </c>
      <c r="E511" s="388">
        <v>4697</v>
      </c>
      <c r="F511" s="388">
        <v>5166</v>
      </c>
      <c r="G511" s="388">
        <v>5616</v>
      </c>
    </row>
    <row r="512" spans="1:7" x14ac:dyDescent="0.25">
      <c r="A512" s="388">
        <v>26200</v>
      </c>
      <c r="B512" s="388">
        <v>2352</v>
      </c>
      <c r="C512" s="388">
        <v>3531</v>
      </c>
      <c r="D512" s="388">
        <v>4211</v>
      </c>
      <c r="E512" s="388">
        <v>4704</v>
      </c>
      <c r="F512" s="388">
        <v>5175</v>
      </c>
      <c r="G512" s="388">
        <v>5625</v>
      </c>
    </row>
    <row r="513" spans="1:7" x14ac:dyDescent="0.25">
      <c r="A513" s="388">
        <v>26250</v>
      </c>
      <c r="B513" s="388">
        <v>2354</v>
      </c>
      <c r="C513" s="388">
        <v>3536</v>
      </c>
      <c r="D513" s="388">
        <v>4218</v>
      </c>
      <c r="E513" s="388">
        <v>4712</v>
      </c>
      <c r="F513" s="388">
        <v>5183</v>
      </c>
      <c r="G513" s="388">
        <v>5634</v>
      </c>
    </row>
    <row r="514" spans="1:7" x14ac:dyDescent="0.25">
      <c r="A514" s="388">
        <v>26300</v>
      </c>
      <c r="B514" s="388">
        <v>2357</v>
      </c>
      <c r="C514" s="388">
        <v>3541</v>
      </c>
      <c r="D514" s="388">
        <v>4225</v>
      </c>
      <c r="E514" s="388">
        <v>4719</v>
      </c>
      <c r="F514" s="388">
        <v>5191</v>
      </c>
      <c r="G514" s="388">
        <v>5643</v>
      </c>
    </row>
    <row r="515" spans="1:7" x14ac:dyDescent="0.25">
      <c r="A515" s="388">
        <v>26350</v>
      </c>
      <c r="B515" s="388">
        <v>2360</v>
      </c>
      <c r="C515" s="388">
        <v>3546</v>
      </c>
      <c r="D515" s="388">
        <v>4232</v>
      </c>
      <c r="E515" s="388">
        <v>4727</v>
      </c>
      <c r="F515" s="388">
        <v>5199</v>
      </c>
      <c r="G515" s="388">
        <v>5652</v>
      </c>
    </row>
    <row r="516" spans="1:7" x14ac:dyDescent="0.25">
      <c r="A516" s="388">
        <v>26400</v>
      </c>
      <c r="B516" s="388">
        <v>2363</v>
      </c>
      <c r="C516" s="388">
        <v>3551</v>
      </c>
      <c r="D516" s="388">
        <v>4238</v>
      </c>
      <c r="E516" s="388">
        <v>4734</v>
      </c>
      <c r="F516" s="388">
        <v>5208</v>
      </c>
      <c r="G516" s="388">
        <v>5661</v>
      </c>
    </row>
    <row r="517" spans="1:7" x14ac:dyDescent="0.25">
      <c r="A517" s="388">
        <v>26450</v>
      </c>
      <c r="B517" s="388">
        <v>2366</v>
      </c>
      <c r="C517" s="388">
        <v>3556</v>
      </c>
      <c r="D517" s="388">
        <v>4245</v>
      </c>
      <c r="E517" s="388">
        <v>4742</v>
      </c>
      <c r="F517" s="388">
        <v>5216</v>
      </c>
      <c r="G517" s="388">
        <v>5670</v>
      </c>
    </row>
    <row r="518" spans="1:7" x14ac:dyDescent="0.25">
      <c r="A518" s="388">
        <v>26500</v>
      </c>
      <c r="B518" s="388">
        <v>2369</v>
      </c>
      <c r="C518" s="388">
        <v>3561</v>
      </c>
      <c r="D518" s="388">
        <v>4252</v>
      </c>
      <c r="E518" s="388">
        <v>4749</v>
      </c>
      <c r="F518" s="388">
        <v>5224</v>
      </c>
      <c r="G518" s="388">
        <v>5679</v>
      </c>
    </row>
    <row r="519" spans="1:7" x14ac:dyDescent="0.25">
      <c r="A519" s="388">
        <v>26550</v>
      </c>
      <c r="B519" s="388">
        <v>2372</v>
      </c>
      <c r="C519" s="388">
        <v>3566</v>
      </c>
      <c r="D519" s="388">
        <v>4259</v>
      </c>
      <c r="E519" s="388">
        <v>4757</v>
      </c>
      <c r="F519" s="388">
        <v>5232</v>
      </c>
      <c r="G519" s="388">
        <v>5688</v>
      </c>
    </row>
    <row r="520" spans="1:7" x14ac:dyDescent="0.25">
      <c r="A520" s="388">
        <v>26600</v>
      </c>
      <c r="B520" s="388">
        <v>2375</v>
      </c>
      <c r="C520" s="388">
        <v>3571</v>
      </c>
      <c r="D520" s="388">
        <v>4265</v>
      </c>
      <c r="E520" s="388">
        <v>4764</v>
      </c>
      <c r="F520" s="388">
        <v>5241</v>
      </c>
      <c r="G520" s="388">
        <v>5697</v>
      </c>
    </row>
    <row r="521" spans="1:7" x14ac:dyDescent="0.25">
      <c r="A521" s="388">
        <v>26650</v>
      </c>
      <c r="B521" s="388">
        <v>2378</v>
      </c>
      <c r="C521" s="388">
        <v>3576</v>
      </c>
      <c r="D521" s="388">
        <v>4272</v>
      </c>
      <c r="E521" s="388">
        <v>4772</v>
      </c>
      <c r="F521" s="388">
        <v>5249</v>
      </c>
      <c r="G521" s="388">
        <v>5706</v>
      </c>
    </row>
    <row r="522" spans="1:7" x14ac:dyDescent="0.25">
      <c r="A522" s="388">
        <v>26700</v>
      </c>
      <c r="B522" s="388">
        <v>2381</v>
      </c>
      <c r="C522" s="388">
        <v>3581</v>
      </c>
      <c r="D522" s="388">
        <v>4279</v>
      </c>
      <c r="E522" s="388">
        <v>4779</v>
      </c>
      <c r="F522" s="388">
        <v>5257</v>
      </c>
      <c r="G522" s="388">
        <v>5715</v>
      </c>
    </row>
    <row r="523" spans="1:7" x14ac:dyDescent="0.25">
      <c r="A523" s="388">
        <v>26750</v>
      </c>
      <c r="B523" s="388">
        <v>2383</v>
      </c>
      <c r="C523" s="388">
        <v>3586</v>
      </c>
      <c r="D523" s="388">
        <v>4285</v>
      </c>
      <c r="E523" s="388">
        <v>4787</v>
      </c>
      <c r="F523" s="388">
        <v>5266</v>
      </c>
      <c r="G523" s="388">
        <v>5724</v>
      </c>
    </row>
    <row r="524" spans="1:7" x14ac:dyDescent="0.25">
      <c r="A524" s="388">
        <v>26800</v>
      </c>
      <c r="B524" s="388">
        <v>2386</v>
      </c>
      <c r="C524" s="388">
        <v>3591</v>
      </c>
      <c r="D524" s="388">
        <v>4292</v>
      </c>
      <c r="E524" s="388">
        <v>4794</v>
      </c>
      <c r="F524" s="388">
        <v>5274</v>
      </c>
      <c r="G524" s="388">
        <v>5733</v>
      </c>
    </row>
    <row r="525" spans="1:7" x14ac:dyDescent="0.25">
      <c r="A525" s="388">
        <v>26850</v>
      </c>
      <c r="B525" s="388">
        <v>2389</v>
      </c>
      <c r="C525" s="388">
        <v>3596</v>
      </c>
      <c r="D525" s="388">
        <v>4299</v>
      </c>
      <c r="E525" s="388">
        <v>4802</v>
      </c>
      <c r="F525" s="388">
        <v>5282</v>
      </c>
      <c r="G525" s="388">
        <v>5742</v>
      </c>
    </row>
    <row r="526" spans="1:7" x14ac:dyDescent="0.25">
      <c r="A526" s="388">
        <v>26900</v>
      </c>
      <c r="B526" s="388">
        <v>2392</v>
      </c>
      <c r="C526" s="388">
        <v>3601</v>
      </c>
      <c r="D526" s="388">
        <v>4306</v>
      </c>
      <c r="E526" s="388">
        <v>4809</v>
      </c>
      <c r="F526" s="388">
        <v>5290</v>
      </c>
      <c r="G526" s="388">
        <v>5751</v>
      </c>
    </row>
    <row r="527" spans="1:7" x14ac:dyDescent="0.25">
      <c r="A527" s="388">
        <v>26950</v>
      </c>
      <c r="B527" s="388">
        <v>2395</v>
      </c>
      <c r="C527" s="388">
        <v>3606</v>
      </c>
      <c r="D527" s="388">
        <v>4312</v>
      </c>
      <c r="E527" s="388">
        <v>4817</v>
      </c>
      <c r="F527" s="388">
        <v>5299</v>
      </c>
      <c r="G527" s="388">
        <v>5760</v>
      </c>
    </row>
    <row r="528" spans="1:7" x14ac:dyDescent="0.25">
      <c r="A528" s="388">
        <v>27000</v>
      </c>
      <c r="B528" s="388">
        <v>2398</v>
      </c>
      <c r="C528" s="388">
        <v>3611</v>
      </c>
      <c r="D528" s="388">
        <v>4319</v>
      </c>
      <c r="E528" s="388">
        <v>4824</v>
      </c>
      <c r="F528" s="388">
        <v>5307</v>
      </c>
      <c r="G528" s="388">
        <v>5769</v>
      </c>
    </row>
    <row r="529" spans="1:7" x14ac:dyDescent="0.25">
      <c r="A529" s="388">
        <v>27050</v>
      </c>
      <c r="B529" s="388">
        <v>2401</v>
      </c>
      <c r="C529" s="388">
        <v>3616</v>
      </c>
      <c r="D529" s="388">
        <v>4326</v>
      </c>
      <c r="E529" s="388">
        <v>4832</v>
      </c>
      <c r="F529" s="388">
        <v>5315</v>
      </c>
      <c r="G529" s="388">
        <v>5778</v>
      </c>
    </row>
    <row r="530" spans="1:7" x14ac:dyDescent="0.25">
      <c r="A530" s="388">
        <v>27100</v>
      </c>
      <c r="B530" s="388">
        <v>2404</v>
      </c>
      <c r="C530" s="388">
        <v>3621</v>
      </c>
      <c r="D530" s="388">
        <v>4333</v>
      </c>
      <c r="E530" s="388">
        <v>4840</v>
      </c>
      <c r="F530" s="388">
        <v>5323</v>
      </c>
      <c r="G530" s="388">
        <v>5787</v>
      </c>
    </row>
    <row r="531" spans="1:7" x14ac:dyDescent="0.25">
      <c r="A531" s="388">
        <v>27150</v>
      </c>
      <c r="B531" s="388">
        <v>2407</v>
      </c>
      <c r="C531" s="388">
        <v>3626</v>
      </c>
      <c r="D531" s="388">
        <v>4339</v>
      </c>
      <c r="E531" s="388">
        <v>4847</v>
      </c>
      <c r="F531" s="388">
        <v>5332</v>
      </c>
      <c r="G531" s="388">
        <v>5796</v>
      </c>
    </row>
    <row r="532" spans="1:7" x14ac:dyDescent="0.25">
      <c r="A532" s="388">
        <v>27200</v>
      </c>
      <c r="B532" s="388">
        <v>2410</v>
      </c>
      <c r="C532" s="388">
        <v>3631</v>
      </c>
      <c r="D532" s="388">
        <v>4346</v>
      </c>
      <c r="E532" s="388">
        <v>4855</v>
      </c>
      <c r="F532" s="388">
        <v>5340</v>
      </c>
      <c r="G532" s="388">
        <v>5805</v>
      </c>
    </row>
    <row r="533" spans="1:7" x14ac:dyDescent="0.25">
      <c r="A533" s="388">
        <v>27250</v>
      </c>
      <c r="B533" s="388">
        <v>2413</v>
      </c>
      <c r="C533" s="388">
        <v>3636</v>
      </c>
      <c r="D533" s="388">
        <v>4353</v>
      </c>
      <c r="E533" s="388">
        <v>4862</v>
      </c>
      <c r="F533" s="388">
        <v>5348</v>
      </c>
      <c r="G533" s="388">
        <v>5814</v>
      </c>
    </row>
    <row r="534" spans="1:7" x14ac:dyDescent="0.25">
      <c r="A534" s="388">
        <v>27300</v>
      </c>
      <c r="B534" s="388">
        <v>2415</v>
      </c>
      <c r="C534" s="388">
        <v>3641</v>
      </c>
      <c r="D534" s="388">
        <v>4360</v>
      </c>
      <c r="E534" s="388">
        <v>4870</v>
      </c>
      <c r="F534" s="388">
        <v>5357</v>
      </c>
      <c r="G534" s="388">
        <v>5823</v>
      </c>
    </row>
    <row r="535" spans="1:7" x14ac:dyDescent="0.25">
      <c r="A535" s="388">
        <v>27350</v>
      </c>
      <c r="B535" s="388">
        <v>2418</v>
      </c>
      <c r="C535" s="388">
        <v>3646</v>
      </c>
      <c r="D535" s="388">
        <v>4366</v>
      </c>
      <c r="E535" s="388">
        <v>4877</v>
      </c>
      <c r="F535" s="388">
        <v>5365</v>
      </c>
      <c r="G535" s="388">
        <v>5832</v>
      </c>
    </row>
    <row r="536" spans="1:7" x14ac:dyDescent="0.25">
      <c r="A536" s="388">
        <v>27400</v>
      </c>
      <c r="B536" s="388">
        <v>2421</v>
      </c>
      <c r="C536" s="388">
        <v>3651</v>
      </c>
      <c r="D536" s="388">
        <v>4373</v>
      </c>
      <c r="E536" s="388">
        <v>4885</v>
      </c>
      <c r="F536" s="388">
        <v>5373</v>
      </c>
      <c r="G536" s="388">
        <v>5841</v>
      </c>
    </row>
    <row r="537" spans="1:7" x14ac:dyDescent="0.25">
      <c r="A537" s="388">
        <v>27450</v>
      </c>
      <c r="B537" s="388">
        <v>2424</v>
      </c>
      <c r="C537" s="388">
        <v>3656</v>
      </c>
      <c r="D537" s="388">
        <v>4380</v>
      </c>
      <c r="E537" s="388">
        <v>4892</v>
      </c>
      <c r="F537" s="388">
        <v>5381</v>
      </c>
      <c r="G537" s="388">
        <v>5850</v>
      </c>
    </row>
    <row r="538" spans="1:7" x14ac:dyDescent="0.25">
      <c r="A538" s="388">
        <v>27500</v>
      </c>
      <c r="B538" s="388">
        <v>2427</v>
      </c>
      <c r="C538" s="388">
        <v>3661</v>
      </c>
      <c r="D538" s="388">
        <v>4386</v>
      </c>
      <c r="E538" s="388">
        <v>4900</v>
      </c>
      <c r="F538" s="388">
        <v>5390</v>
      </c>
      <c r="G538" s="388">
        <v>5859</v>
      </c>
    </row>
    <row r="539" spans="1:7" x14ac:dyDescent="0.25">
      <c r="A539" s="388">
        <v>27550</v>
      </c>
      <c r="B539" s="388">
        <v>2430</v>
      </c>
      <c r="C539" s="388">
        <v>3666</v>
      </c>
      <c r="D539" s="388">
        <v>4393</v>
      </c>
      <c r="E539" s="388">
        <v>4907</v>
      </c>
      <c r="F539" s="388">
        <v>5398</v>
      </c>
      <c r="G539" s="388">
        <v>5868</v>
      </c>
    </row>
    <row r="540" spans="1:7" x14ac:dyDescent="0.25">
      <c r="A540" s="388">
        <v>27600</v>
      </c>
      <c r="B540" s="388">
        <v>2433</v>
      </c>
      <c r="C540" s="388">
        <v>3671</v>
      </c>
      <c r="D540" s="388">
        <v>4400</v>
      </c>
      <c r="E540" s="388">
        <v>4915</v>
      </c>
      <c r="F540" s="388">
        <v>5406</v>
      </c>
      <c r="G540" s="388">
        <v>5877</v>
      </c>
    </row>
    <row r="541" spans="1:7" x14ac:dyDescent="0.25">
      <c r="A541" s="388">
        <v>27650</v>
      </c>
      <c r="B541" s="388">
        <v>2436</v>
      </c>
      <c r="C541" s="388">
        <v>3676</v>
      </c>
      <c r="D541" s="388">
        <v>4407</v>
      </c>
      <c r="E541" s="388">
        <v>4922</v>
      </c>
      <c r="F541" s="388">
        <v>5414</v>
      </c>
      <c r="G541" s="388">
        <v>5886</v>
      </c>
    </row>
    <row r="542" spans="1:7" x14ac:dyDescent="0.25">
      <c r="A542" s="388">
        <v>27700</v>
      </c>
      <c r="B542" s="388">
        <v>2439</v>
      </c>
      <c r="C542" s="388">
        <v>3681</v>
      </c>
      <c r="D542" s="388">
        <v>4413</v>
      </c>
      <c r="E542" s="388">
        <v>4930</v>
      </c>
      <c r="F542" s="388">
        <v>5423</v>
      </c>
      <c r="G542" s="388">
        <v>5895</v>
      </c>
    </row>
    <row r="543" spans="1:7" x14ac:dyDescent="0.25">
      <c r="A543" s="388">
        <v>27750</v>
      </c>
      <c r="B543" s="388">
        <v>2442</v>
      </c>
      <c r="C543" s="388">
        <v>3686</v>
      </c>
      <c r="D543" s="388">
        <v>4420</v>
      </c>
      <c r="E543" s="388">
        <v>4937</v>
      </c>
      <c r="F543" s="388">
        <v>5431</v>
      </c>
      <c r="G543" s="388">
        <v>5904</v>
      </c>
    </row>
    <row r="544" spans="1:7" x14ac:dyDescent="0.25">
      <c r="A544" s="388">
        <v>27800</v>
      </c>
      <c r="B544" s="388">
        <v>2445</v>
      </c>
      <c r="C544" s="388">
        <v>3691</v>
      </c>
      <c r="D544" s="388">
        <v>4427</v>
      </c>
      <c r="E544" s="388">
        <v>4945</v>
      </c>
      <c r="F544" s="388">
        <v>5439</v>
      </c>
      <c r="G544" s="388">
        <v>5913</v>
      </c>
    </row>
    <row r="545" spans="1:7" x14ac:dyDescent="0.25">
      <c r="A545" s="388">
        <v>27850</v>
      </c>
      <c r="B545" s="388">
        <v>2447</v>
      </c>
      <c r="C545" s="388">
        <v>3696</v>
      </c>
      <c r="D545" s="388">
        <v>4434</v>
      </c>
      <c r="E545" s="388">
        <v>4952</v>
      </c>
      <c r="F545" s="388">
        <v>5448</v>
      </c>
      <c r="G545" s="388">
        <v>5922</v>
      </c>
    </row>
    <row r="546" spans="1:7" x14ac:dyDescent="0.25">
      <c r="A546" s="388">
        <v>27900</v>
      </c>
      <c r="B546" s="388">
        <v>2450</v>
      </c>
      <c r="C546" s="388">
        <v>3701</v>
      </c>
      <c r="D546" s="388">
        <v>4440</v>
      </c>
      <c r="E546" s="388">
        <v>4960</v>
      </c>
      <c r="F546" s="388">
        <v>5456</v>
      </c>
      <c r="G546" s="388">
        <v>5931</v>
      </c>
    </row>
    <row r="547" spans="1:7" x14ac:dyDescent="0.25">
      <c r="A547" s="388">
        <v>27950</v>
      </c>
      <c r="B547" s="388">
        <v>2453</v>
      </c>
      <c r="C547" s="388">
        <v>3706</v>
      </c>
      <c r="D547" s="388">
        <v>4447</v>
      </c>
      <c r="E547" s="388">
        <v>4967</v>
      </c>
      <c r="F547" s="388">
        <v>5464</v>
      </c>
      <c r="G547" s="388">
        <v>5940</v>
      </c>
    </row>
    <row r="548" spans="1:7" x14ac:dyDescent="0.25">
      <c r="A548" s="388">
        <v>28000</v>
      </c>
      <c r="B548" s="388">
        <v>2456</v>
      </c>
      <c r="C548" s="388">
        <v>3711</v>
      </c>
      <c r="D548" s="388">
        <v>4454</v>
      </c>
      <c r="E548" s="388">
        <v>4975</v>
      </c>
      <c r="F548" s="388">
        <v>5472</v>
      </c>
      <c r="G548" s="388">
        <v>5948</v>
      </c>
    </row>
    <row r="549" spans="1:7" x14ac:dyDescent="0.25">
      <c r="A549" s="388">
        <v>28050</v>
      </c>
      <c r="B549" s="388">
        <v>2459</v>
      </c>
      <c r="C549" s="388">
        <v>3716</v>
      </c>
      <c r="D549" s="388">
        <v>4461</v>
      </c>
      <c r="E549" s="388">
        <v>4982</v>
      </c>
      <c r="F549" s="388">
        <v>5481</v>
      </c>
      <c r="G549" s="388">
        <v>5957</v>
      </c>
    </row>
    <row r="550" spans="1:7" x14ac:dyDescent="0.25">
      <c r="A550" s="388">
        <v>28100</v>
      </c>
      <c r="B550" s="388">
        <v>2462</v>
      </c>
      <c r="C550" s="388">
        <v>3721</v>
      </c>
      <c r="D550" s="388">
        <v>4467</v>
      </c>
      <c r="E550" s="388">
        <v>4990</v>
      </c>
      <c r="F550" s="388">
        <v>5489</v>
      </c>
      <c r="G550" s="388">
        <v>5966</v>
      </c>
    </row>
    <row r="551" spans="1:7" x14ac:dyDescent="0.25">
      <c r="A551" s="388">
        <v>28150</v>
      </c>
      <c r="B551" s="388">
        <v>2465</v>
      </c>
      <c r="C551" s="388">
        <v>3726</v>
      </c>
      <c r="D551" s="388">
        <v>4474</v>
      </c>
      <c r="E551" s="388">
        <v>4997</v>
      </c>
      <c r="F551" s="388">
        <v>5497</v>
      </c>
      <c r="G551" s="388">
        <v>5975</v>
      </c>
    </row>
    <row r="552" spans="1:7" x14ac:dyDescent="0.25">
      <c r="A552" s="388">
        <v>28200</v>
      </c>
      <c r="B552" s="388">
        <v>2468</v>
      </c>
      <c r="C552" s="388">
        <v>3731</v>
      </c>
      <c r="D552" s="388">
        <v>4481</v>
      </c>
      <c r="E552" s="388">
        <v>5005</v>
      </c>
      <c r="F552" s="388">
        <v>5505</v>
      </c>
      <c r="G552" s="388">
        <v>5984</v>
      </c>
    </row>
    <row r="553" spans="1:7" x14ac:dyDescent="0.25">
      <c r="A553" s="388">
        <v>28250</v>
      </c>
      <c r="B553" s="388">
        <v>2471</v>
      </c>
      <c r="C553" s="388">
        <v>3736</v>
      </c>
      <c r="D553" s="388">
        <v>4487</v>
      </c>
      <c r="E553" s="388">
        <v>5013</v>
      </c>
      <c r="F553" s="388">
        <v>5514</v>
      </c>
      <c r="G553" s="388">
        <v>5993</v>
      </c>
    </row>
    <row r="554" spans="1:7" x14ac:dyDescent="0.25">
      <c r="A554" s="388">
        <v>28300</v>
      </c>
      <c r="B554" s="388">
        <v>2474</v>
      </c>
      <c r="C554" s="388">
        <v>3741</v>
      </c>
      <c r="D554" s="388">
        <v>4494</v>
      </c>
      <c r="E554" s="388">
        <v>5020</v>
      </c>
      <c r="F554" s="388">
        <v>5522</v>
      </c>
      <c r="G554" s="388">
        <v>6002</v>
      </c>
    </row>
    <row r="555" spans="1:7" x14ac:dyDescent="0.25">
      <c r="A555" s="388">
        <v>28350</v>
      </c>
      <c r="B555" s="388">
        <v>2476</v>
      </c>
      <c r="C555" s="388">
        <v>3746</v>
      </c>
      <c r="D555" s="388">
        <v>4501</v>
      </c>
      <c r="E555" s="388">
        <v>5028</v>
      </c>
      <c r="F555" s="388">
        <v>5530</v>
      </c>
      <c r="G555" s="388">
        <v>6011</v>
      </c>
    </row>
    <row r="556" spans="1:7" x14ac:dyDescent="0.25">
      <c r="A556" s="388">
        <v>28400</v>
      </c>
      <c r="B556" s="388">
        <v>2479</v>
      </c>
      <c r="C556" s="388">
        <v>3751</v>
      </c>
      <c r="D556" s="388">
        <v>4508</v>
      </c>
      <c r="E556" s="388">
        <v>5035</v>
      </c>
      <c r="F556" s="388">
        <v>5539</v>
      </c>
      <c r="G556" s="388">
        <v>6020</v>
      </c>
    </row>
    <row r="557" spans="1:7" x14ac:dyDescent="0.25">
      <c r="A557" s="388">
        <v>28450</v>
      </c>
      <c r="B557" s="388">
        <v>2482</v>
      </c>
      <c r="C557" s="388">
        <v>3756</v>
      </c>
      <c r="D557" s="388">
        <v>4514</v>
      </c>
      <c r="E557" s="388">
        <v>5043</v>
      </c>
      <c r="F557" s="388">
        <v>5547</v>
      </c>
      <c r="G557" s="388">
        <v>6029</v>
      </c>
    </row>
    <row r="558" spans="1:7" x14ac:dyDescent="0.25">
      <c r="A558" s="388">
        <v>28500</v>
      </c>
      <c r="B558" s="388">
        <v>2485</v>
      </c>
      <c r="C558" s="388">
        <v>3761</v>
      </c>
      <c r="D558" s="388">
        <v>4521</v>
      </c>
      <c r="E558" s="388">
        <v>5050</v>
      </c>
      <c r="F558" s="388">
        <v>5555</v>
      </c>
      <c r="G558" s="388">
        <v>6038</v>
      </c>
    </row>
    <row r="559" spans="1:7" x14ac:dyDescent="0.25">
      <c r="A559" s="388">
        <v>28550</v>
      </c>
      <c r="B559" s="388">
        <v>2488</v>
      </c>
      <c r="C559" s="388">
        <v>3766</v>
      </c>
      <c r="D559" s="388">
        <v>4528</v>
      </c>
      <c r="E559" s="388">
        <v>5058</v>
      </c>
      <c r="F559" s="388">
        <v>5563</v>
      </c>
      <c r="G559" s="388">
        <v>6047</v>
      </c>
    </row>
    <row r="560" spans="1:7" x14ac:dyDescent="0.25">
      <c r="A560" s="388">
        <v>28600</v>
      </c>
      <c r="B560" s="388">
        <v>2491</v>
      </c>
      <c r="C560" s="388">
        <v>3771</v>
      </c>
      <c r="D560" s="388">
        <v>4535</v>
      </c>
      <c r="E560" s="388">
        <v>5065</v>
      </c>
      <c r="F560" s="388">
        <v>5572</v>
      </c>
      <c r="G560" s="388">
        <v>6056</v>
      </c>
    </row>
    <row r="561" spans="1:7" x14ac:dyDescent="0.25">
      <c r="A561" s="388">
        <v>28650</v>
      </c>
      <c r="B561" s="388">
        <v>2494</v>
      </c>
      <c r="C561" s="388">
        <v>3776</v>
      </c>
      <c r="D561" s="388">
        <v>4541</v>
      </c>
      <c r="E561" s="388">
        <v>5073</v>
      </c>
      <c r="F561" s="388">
        <v>5580</v>
      </c>
      <c r="G561" s="388">
        <v>6065</v>
      </c>
    </row>
    <row r="562" spans="1:7" x14ac:dyDescent="0.25">
      <c r="A562" s="388">
        <v>28700</v>
      </c>
      <c r="B562" s="388">
        <v>2497</v>
      </c>
      <c r="C562" s="388">
        <v>3781</v>
      </c>
      <c r="D562" s="388">
        <v>4548</v>
      </c>
      <c r="E562" s="388">
        <v>5080</v>
      </c>
      <c r="F562" s="388">
        <v>5588</v>
      </c>
      <c r="G562" s="388">
        <v>6074</v>
      </c>
    </row>
    <row r="563" spans="1:7" x14ac:dyDescent="0.25">
      <c r="A563" s="388">
        <v>28750</v>
      </c>
      <c r="B563" s="388">
        <v>2500</v>
      </c>
      <c r="C563" s="388">
        <v>3786</v>
      </c>
      <c r="D563" s="388">
        <v>4555</v>
      </c>
      <c r="E563" s="388">
        <v>5088</v>
      </c>
      <c r="F563" s="388">
        <v>5597</v>
      </c>
      <c r="G563" s="388">
        <v>6083</v>
      </c>
    </row>
    <row r="564" spans="1:7" x14ac:dyDescent="0.25">
      <c r="A564" s="388">
        <v>28800</v>
      </c>
      <c r="B564" s="388">
        <v>2503</v>
      </c>
      <c r="C564" s="388">
        <v>3791</v>
      </c>
      <c r="D564" s="388">
        <v>4562</v>
      </c>
      <c r="E564" s="388">
        <v>5095</v>
      </c>
      <c r="F564" s="388">
        <v>5605</v>
      </c>
      <c r="G564" s="388">
        <v>6092</v>
      </c>
    </row>
    <row r="565" spans="1:7" x14ac:dyDescent="0.25">
      <c r="A565" s="388">
        <v>28850</v>
      </c>
      <c r="B565" s="388">
        <v>2506</v>
      </c>
      <c r="C565" s="388">
        <v>3796</v>
      </c>
      <c r="D565" s="388">
        <v>4568</v>
      </c>
      <c r="E565" s="388">
        <v>5103</v>
      </c>
      <c r="F565" s="388">
        <v>5613</v>
      </c>
      <c r="G565" s="388">
        <v>6101</v>
      </c>
    </row>
    <row r="566" spans="1:7" x14ac:dyDescent="0.25">
      <c r="A566" s="388">
        <v>28900</v>
      </c>
      <c r="B566" s="388">
        <v>2508</v>
      </c>
      <c r="C566" s="388">
        <v>3801</v>
      </c>
      <c r="D566" s="388">
        <v>4575</v>
      </c>
      <c r="E566" s="388">
        <v>5110</v>
      </c>
      <c r="F566" s="388">
        <v>5621</v>
      </c>
      <c r="G566" s="388">
        <v>6110</v>
      </c>
    </row>
    <row r="567" spans="1:7" x14ac:dyDescent="0.25">
      <c r="A567" s="388">
        <v>28950</v>
      </c>
      <c r="B567" s="388">
        <v>2511</v>
      </c>
      <c r="C567" s="388">
        <v>3806</v>
      </c>
      <c r="D567" s="388">
        <v>4582</v>
      </c>
      <c r="E567" s="388">
        <v>5118</v>
      </c>
      <c r="F567" s="388">
        <v>5630</v>
      </c>
      <c r="G567" s="388">
        <v>6119</v>
      </c>
    </row>
    <row r="568" spans="1:7" x14ac:dyDescent="0.25">
      <c r="A568" s="388">
        <v>29000</v>
      </c>
      <c r="B568" s="388">
        <v>2514</v>
      </c>
      <c r="C568" s="388">
        <v>3811</v>
      </c>
      <c r="D568" s="388">
        <v>4588</v>
      </c>
      <c r="E568" s="388">
        <v>5125</v>
      </c>
      <c r="F568" s="388">
        <v>5638</v>
      </c>
      <c r="G568" s="388">
        <v>6128</v>
      </c>
    </row>
    <row r="569" spans="1:7" x14ac:dyDescent="0.25">
      <c r="A569" s="388">
        <v>29050</v>
      </c>
      <c r="B569" s="388">
        <v>2517</v>
      </c>
      <c r="C569" s="388">
        <v>3816</v>
      </c>
      <c r="D569" s="388">
        <v>4595</v>
      </c>
      <c r="E569" s="388">
        <v>5133</v>
      </c>
      <c r="F569" s="388">
        <v>5646</v>
      </c>
      <c r="G569" s="388">
        <v>6137</v>
      </c>
    </row>
    <row r="570" spans="1:7" x14ac:dyDescent="0.25">
      <c r="A570" s="388">
        <v>29100</v>
      </c>
      <c r="B570" s="388">
        <v>2520</v>
      </c>
      <c r="C570" s="388">
        <v>3821</v>
      </c>
      <c r="D570" s="388">
        <v>4602</v>
      </c>
      <c r="E570" s="388">
        <v>5140</v>
      </c>
      <c r="F570" s="388">
        <v>5654</v>
      </c>
      <c r="G570" s="388">
        <v>6146</v>
      </c>
    </row>
    <row r="571" spans="1:7" x14ac:dyDescent="0.25">
      <c r="A571" s="388">
        <v>29150</v>
      </c>
      <c r="B571" s="388">
        <v>2523</v>
      </c>
      <c r="C571" s="388">
        <v>3826</v>
      </c>
      <c r="D571" s="388">
        <v>4609</v>
      </c>
      <c r="E571" s="388">
        <v>5148</v>
      </c>
      <c r="F571" s="388">
        <v>5663</v>
      </c>
      <c r="G571" s="388">
        <v>6155</v>
      </c>
    </row>
    <row r="572" spans="1:7" x14ac:dyDescent="0.25">
      <c r="A572" s="388">
        <v>29200</v>
      </c>
      <c r="B572" s="388">
        <v>2526</v>
      </c>
      <c r="C572" s="388">
        <v>3831</v>
      </c>
      <c r="D572" s="388">
        <v>4615</v>
      </c>
      <c r="E572" s="388">
        <v>5155</v>
      </c>
      <c r="F572" s="388">
        <v>5671</v>
      </c>
      <c r="G572" s="388">
        <v>6164</v>
      </c>
    </row>
    <row r="573" spans="1:7" x14ac:dyDescent="0.25">
      <c r="A573" s="388">
        <v>29250</v>
      </c>
      <c r="B573" s="388">
        <v>2529</v>
      </c>
      <c r="C573" s="388">
        <v>3836</v>
      </c>
      <c r="D573" s="388">
        <v>4622</v>
      </c>
      <c r="E573" s="388">
        <v>5163</v>
      </c>
      <c r="F573" s="388">
        <v>5679</v>
      </c>
      <c r="G573" s="388">
        <v>6173</v>
      </c>
    </row>
    <row r="574" spans="1:7" x14ac:dyDescent="0.25">
      <c r="A574" s="388">
        <v>29300</v>
      </c>
      <c r="B574" s="388">
        <v>2532</v>
      </c>
      <c r="C574" s="388">
        <v>3841</v>
      </c>
      <c r="D574" s="388">
        <v>4629</v>
      </c>
      <c r="E574" s="388">
        <v>5170</v>
      </c>
      <c r="F574" s="388">
        <v>5688</v>
      </c>
      <c r="G574" s="388">
        <v>6182</v>
      </c>
    </row>
    <row r="575" spans="1:7" x14ac:dyDescent="0.25">
      <c r="A575" s="388">
        <v>29350</v>
      </c>
      <c r="B575" s="388">
        <v>2535</v>
      </c>
      <c r="C575" s="388">
        <v>3846</v>
      </c>
      <c r="D575" s="388">
        <v>4636</v>
      </c>
      <c r="E575" s="388">
        <v>5178</v>
      </c>
      <c r="F575" s="388">
        <v>5696</v>
      </c>
      <c r="G575" s="388">
        <v>6191</v>
      </c>
    </row>
    <row r="576" spans="1:7" x14ac:dyDescent="0.25">
      <c r="A576" s="388">
        <v>29400</v>
      </c>
      <c r="B576" s="388">
        <v>2538</v>
      </c>
      <c r="C576" s="388">
        <v>3851</v>
      </c>
      <c r="D576" s="388">
        <v>4642</v>
      </c>
      <c r="E576" s="388">
        <v>5186</v>
      </c>
      <c r="F576" s="388">
        <v>5704</v>
      </c>
      <c r="G576" s="388">
        <v>6200</v>
      </c>
    </row>
    <row r="577" spans="1:7" x14ac:dyDescent="0.25">
      <c r="A577" s="388">
        <v>29450</v>
      </c>
      <c r="B577" s="388">
        <v>2540</v>
      </c>
      <c r="C577" s="388">
        <v>3856</v>
      </c>
      <c r="D577" s="388">
        <v>4649</v>
      </c>
      <c r="E577" s="388">
        <v>5193</v>
      </c>
      <c r="F577" s="388">
        <v>5712</v>
      </c>
      <c r="G577" s="388">
        <v>6209</v>
      </c>
    </row>
    <row r="578" spans="1:7" x14ac:dyDescent="0.25">
      <c r="A578" s="388">
        <v>29500</v>
      </c>
      <c r="B578" s="388">
        <v>2543</v>
      </c>
      <c r="C578" s="388">
        <v>3861</v>
      </c>
      <c r="D578" s="388">
        <v>4656</v>
      </c>
      <c r="E578" s="388">
        <v>5201</v>
      </c>
      <c r="F578" s="388">
        <v>5721</v>
      </c>
      <c r="G578" s="388">
        <v>6218</v>
      </c>
    </row>
    <row r="579" spans="1:7" x14ac:dyDescent="0.25">
      <c r="A579" s="388">
        <v>29550</v>
      </c>
      <c r="B579" s="388">
        <v>2546</v>
      </c>
      <c r="C579" s="388">
        <v>3866</v>
      </c>
      <c r="D579" s="388">
        <v>4663</v>
      </c>
      <c r="E579" s="388">
        <v>5208</v>
      </c>
      <c r="F579" s="388">
        <v>5729</v>
      </c>
      <c r="G579" s="388">
        <v>6227</v>
      </c>
    </row>
    <row r="580" spans="1:7" x14ac:dyDescent="0.25">
      <c r="A580" s="388">
        <v>29600</v>
      </c>
      <c r="B580" s="388">
        <v>2549</v>
      </c>
      <c r="C580" s="388">
        <v>3871</v>
      </c>
      <c r="D580" s="388">
        <v>4669</v>
      </c>
      <c r="E580" s="388">
        <v>5216</v>
      </c>
      <c r="F580" s="388">
        <v>5737</v>
      </c>
      <c r="G580" s="388">
        <v>6236</v>
      </c>
    </row>
    <row r="581" spans="1:7" x14ac:dyDescent="0.25">
      <c r="A581" s="388">
        <v>29650</v>
      </c>
      <c r="B581" s="388">
        <v>2552</v>
      </c>
      <c r="C581" s="388">
        <v>3876</v>
      </c>
      <c r="D581" s="388">
        <v>4676</v>
      </c>
      <c r="E581" s="388">
        <v>5223</v>
      </c>
      <c r="F581" s="388">
        <v>5745</v>
      </c>
      <c r="G581" s="388">
        <v>6245</v>
      </c>
    </row>
    <row r="582" spans="1:7" x14ac:dyDescent="0.25">
      <c r="A582" s="388">
        <v>29700</v>
      </c>
      <c r="B582" s="388">
        <v>2555</v>
      </c>
      <c r="C582" s="388">
        <v>3881</v>
      </c>
      <c r="D582" s="388">
        <v>4683</v>
      </c>
      <c r="E582" s="388">
        <v>5231</v>
      </c>
      <c r="F582" s="388">
        <v>5754</v>
      </c>
      <c r="G582" s="388">
        <v>6254</v>
      </c>
    </row>
    <row r="583" spans="1:7" x14ac:dyDescent="0.25">
      <c r="A583" s="388">
        <v>29750</v>
      </c>
      <c r="B583" s="388">
        <v>2558</v>
      </c>
      <c r="C583" s="388">
        <v>3886</v>
      </c>
      <c r="D583" s="388">
        <v>4690</v>
      </c>
      <c r="E583" s="388">
        <v>5238</v>
      </c>
      <c r="F583" s="388">
        <v>5762</v>
      </c>
      <c r="G583" s="388">
        <v>6263</v>
      </c>
    </row>
    <row r="584" spans="1:7" x14ac:dyDescent="0.25">
      <c r="A584" s="388">
        <v>29800</v>
      </c>
      <c r="B584" s="388">
        <v>2561</v>
      </c>
      <c r="C584" s="388">
        <v>3891</v>
      </c>
      <c r="D584" s="388">
        <v>4696</v>
      </c>
      <c r="E584" s="388">
        <v>5246</v>
      </c>
      <c r="F584" s="388">
        <v>5770</v>
      </c>
      <c r="G584" s="388">
        <v>6272</v>
      </c>
    </row>
    <row r="585" spans="1:7" x14ac:dyDescent="0.25">
      <c r="A585" s="388">
        <v>29850</v>
      </c>
      <c r="B585" s="388">
        <v>2564</v>
      </c>
      <c r="C585" s="388">
        <v>3896</v>
      </c>
      <c r="D585" s="388">
        <v>4703</v>
      </c>
      <c r="E585" s="388">
        <v>5253</v>
      </c>
      <c r="F585" s="388">
        <v>5779</v>
      </c>
      <c r="G585" s="388">
        <v>6281</v>
      </c>
    </row>
    <row r="586" spans="1:7" x14ac:dyDescent="0.25">
      <c r="A586" s="388">
        <v>29900</v>
      </c>
      <c r="B586" s="388">
        <v>2567</v>
      </c>
      <c r="C586" s="388">
        <v>3901</v>
      </c>
      <c r="D586" s="388">
        <v>4710</v>
      </c>
      <c r="E586" s="388">
        <v>5261</v>
      </c>
      <c r="F586" s="388">
        <v>5787</v>
      </c>
      <c r="G586" s="388">
        <v>6290</v>
      </c>
    </row>
    <row r="587" spans="1:7" x14ac:dyDescent="0.25">
      <c r="A587" s="388">
        <v>29950</v>
      </c>
      <c r="B587" s="388">
        <v>2569</v>
      </c>
      <c r="C587" s="388">
        <v>3906</v>
      </c>
      <c r="D587" s="388">
        <v>4716</v>
      </c>
      <c r="E587" s="388">
        <v>5268</v>
      </c>
      <c r="F587" s="388">
        <v>5795</v>
      </c>
      <c r="G587" s="388">
        <v>6299</v>
      </c>
    </row>
    <row r="588" spans="1:7" x14ac:dyDescent="0.25">
      <c r="A588" s="388">
        <v>30000</v>
      </c>
      <c r="B588" s="388">
        <v>2572</v>
      </c>
      <c r="C588" s="388">
        <v>3911</v>
      </c>
      <c r="D588" s="388">
        <v>4723</v>
      </c>
      <c r="E588" s="388">
        <v>5276</v>
      </c>
      <c r="F588" s="388">
        <v>5803</v>
      </c>
      <c r="G588" s="388">
        <v>6308</v>
      </c>
    </row>
  </sheetData>
  <sheetProtection algorithmName="SHA-512" hashValue="nl5ddpTX0mQ2balvdSuP1J/KNy6Q+HsbL8jh8lilZHLwEZpJPLaNjM8wP9qXX/WM7giS8oIoMTbxiy4ol0fH8w==" saltValue="XOpnQUWgDWTonvlw1f+8WQ==" spinCount="100000" sheet="1" objects="1" scenarios="1"/>
  <mergeCells count="1">
    <mergeCell ref="A1:G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D14"/>
  <sheetViews>
    <sheetView workbookViewId="0">
      <selection sqref="A1:C1"/>
    </sheetView>
  </sheetViews>
  <sheetFormatPr defaultColWidth="3.5546875" defaultRowHeight="13.2" x14ac:dyDescent="0.25"/>
  <cols>
    <col min="1" max="2" width="10.6640625" style="2" customWidth="1"/>
    <col min="3" max="3" width="11.6640625" style="4" customWidth="1"/>
    <col min="4" max="4" width="3.6640625" style="2" customWidth="1"/>
    <col min="5" max="16384" width="3.5546875" style="2"/>
  </cols>
  <sheetData>
    <row r="1" spans="1:4" ht="40.5" customHeight="1" x14ac:dyDescent="0.25">
      <c r="A1" s="1746" t="s">
        <v>454</v>
      </c>
      <c r="B1" s="1747"/>
      <c r="C1" s="1748"/>
      <c r="D1" s="815"/>
    </row>
    <row r="2" spans="1:4" ht="36" customHeight="1" x14ac:dyDescent="0.25">
      <c r="A2" s="1744" t="s">
        <v>455</v>
      </c>
      <c r="B2" s="1745"/>
      <c r="C2" s="385" t="s">
        <v>456</v>
      </c>
      <c r="D2" s="1"/>
    </row>
    <row r="3" spans="1:4" x14ac:dyDescent="0.25">
      <c r="A3" s="816">
        <v>0</v>
      </c>
      <c r="B3" s="817">
        <v>19</v>
      </c>
      <c r="C3" s="818">
        <v>0</v>
      </c>
      <c r="D3" s="819"/>
    </row>
    <row r="4" spans="1:4" x14ac:dyDescent="0.25">
      <c r="A4" s="820">
        <v>20</v>
      </c>
      <c r="B4" s="821">
        <v>34</v>
      </c>
      <c r="C4" s="818">
        <v>2.5000000000000001E-2</v>
      </c>
      <c r="D4" s="819"/>
    </row>
    <row r="5" spans="1:4" x14ac:dyDescent="0.25">
      <c r="A5" s="820">
        <v>35</v>
      </c>
      <c r="B5" s="821">
        <v>49</v>
      </c>
      <c r="C5" s="818">
        <v>0.05</v>
      </c>
      <c r="D5" s="819"/>
    </row>
    <row r="6" spans="1:4" x14ac:dyDescent="0.25">
      <c r="A6" s="820">
        <v>50</v>
      </c>
      <c r="B6" s="821">
        <v>69</v>
      </c>
      <c r="C6" s="818">
        <v>7.4999999999999997E-2</v>
      </c>
      <c r="D6" s="819"/>
    </row>
    <row r="7" spans="1:4" x14ac:dyDescent="0.25">
      <c r="A7" s="820">
        <v>70</v>
      </c>
      <c r="B7" s="821">
        <v>84</v>
      </c>
      <c r="C7" s="818">
        <v>0.1</v>
      </c>
      <c r="D7" s="819"/>
    </row>
    <row r="8" spans="1:4" x14ac:dyDescent="0.25">
      <c r="A8" s="820">
        <v>85</v>
      </c>
      <c r="B8" s="821">
        <v>99</v>
      </c>
      <c r="C8" s="818">
        <v>0.15</v>
      </c>
      <c r="D8" s="819"/>
    </row>
    <row r="9" spans="1:4" x14ac:dyDescent="0.25">
      <c r="A9" s="820">
        <v>100</v>
      </c>
      <c r="B9" s="821">
        <v>114</v>
      </c>
      <c r="C9" s="818">
        <v>0.17499999999999999</v>
      </c>
      <c r="D9" s="819"/>
    </row>
    <row r="10" spans="1:4" x14ac:dyDescent="0.25">
      <c r="A10" s="820">
        <v>115</v>
      </c>
      <c r="B10" s="821">
        <v>129</v>
      </c>
      <c r="C10" s="818">
        <v>0.2</v>
      </c>
      <c r="D10" s="819"/>
    </row>
    <row r="11" spans="1:4" x14ac:dyDescent="0.25">
      <c r="A11" s="822">
        <v>130</v>
      </c>
      <c r="B11" s="384">
        <v>142</v>
      </c>
      <c r="C11" s="823">
        <v>0.25</v>
      </c>
      <c r="D11" s="819"/>
    </row>
    <row r="12" spans="1:4" x14ac:dyDescent="0.25">
      <c r="A12" s="820">
        <v>143</v>
      </c>
      <c r="B12" s="821">
        <v>152</v>
      </c>
      <c r="C12" s="818">
        <v>0.32500000000000001</v>
      </c>
      <c r="D12" s="819"/>
    </row>
    <row r="13" spans="1:4" x14ac:dyDescent="0.25">
      <c r="A13" s="820">
        <v>153</v>
      </c>
      <c r="B13" s="821">
        <v>163</v>
      </c>
      <c r="C13" s="818">
        <v>0.4</v>
      </c>
      <c r="D13" s="819"/>
    </row>
    <row r="14" spans="1:4" x14ac:dyDescent="0.25">
      <c r="A14" s="822">
        <v>164</v>
      </c>
      <c r="B14" s="384" t="s">
        <v>457</v>
      </c>
      <c r="C14" s="823">
        <v>0.5</v>
      </c>
      <c r="D14" s="819"/>
    </row>
  </sheetData>
  <sheetProtection algorithmName="SHA-512" hashValue="jUJQ4qh/dJi+PtbjPTpgSqlLDbbtvtf+9sd2tvY9LhEmvPGjAPMwKU6g6U2usqaxcpEdiXJSxg34c3XVsvYlfQ==" saltValue="PyCTdSp8PS1qWxntp173uw==" spinCount="100000" sheet="1" objects="1" scenarios="1"/>
  <mergeCells count="2">
    <mergeCell ref="A2:B2"/>
    <mergeCell ref="A1:C1"/>
  </mergeCells>
  <phoneticPr fontId="0"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G590"/>
  <sheetViews>
    <sheetView zoomScaleNormal="100" workbookViewId="0">
      <selection sqref="A1:G1"/>
    </sheetView>
  </sheetViews>
  <sheetFormatPr defaultColWidth="12.6640625" defaultRowHeight="13.2" x14ac:dyDescent="0.25"/>
  <cols>
    <col min="1" max="16384" width="12.6640625" style="3"/>
  </cols>
  <sheetData>
    <row r="1" spans="1:7" ht="35.25" customHeight="1" x14ac:dyDescent="0.4">
      <c r="A1" s="1749" t="s">
        <v>458</v>
      </c>
      <c r="B1" s="1750"/>
      <c r="C1" s="1750"/>
      <c r="D1" s="1750"/>
      <c r="E1" s="1750"/>
      <c r="F1" s="1750"/>
      <c r="G1" s="1751"/>
    </row>
    <row r="2" spans="1:7" ht="13.8" thickBot="1" x14ac:dyDescent="0.3">
      <c r="A2" s="1752" t="s">
        <v>459</v>
      </c>
      <c r="B2" s="1753"/>
      <c r="C2" s="1753"/>
      <c r="D2" s="1753"/>
      <c r="E2" s="1753"/>
      <c r="F2" s="1753"/>
      <c r="G2" s="1754"/>
    </row>
    <row r="3" spans="1:7" ht="35.4" thickBot="1" x14ac:dyDescent="0.35">
      <c r="A3" s="133" t="s">
        <v>460</v>
      </c>
      <c r="B3" s="237" t="s">
        <v>448</v>
      </c>
      <c r="C3" s="238" t="s">
        <v>449</v>
      </c>
      <c r="D3" s="238" t="s">
        <v>450</v>
      </c>
      <c r="E3" s="238" t="s">
        <v>451</v>
      </c>
      <c r="F3" s="238" t="s">
        <v>452</v>
      </c>
      <c r="G3" s="238" t="s">
        <v>453</v>
      </c>
    </row>
    <row r="4" spans="1:7" x14ac:dyDescent="0.25">
      <c r="A4" s="129">
        <v>750</v>
      </c>
      <c r="B4" s="239">
        <v>183.59794893122827</v>
      </c>
      <c r="C4" s="239">
        <v>268.88660798117195</v>
      </c>
      <c r="D4" s="239">
        <v>319.69842784582522</v>
      </c>
      <c r="E4" s="239">
        <v>357.10314390378676</v>
      </c>
      <c r="F4" s="239">
        <v>392.81345829416551</v>
      </c>
      <c r="G4" s="239">
        <v>426.98822916575784</v>
      </c>
    </row>
    <row r="5" spans="1:7" x14ac:dyDescent="0.25">
      <c r="A5" s="129">
        <v>800</v>
      </c>
      <c r="B5" s="239">
        <v>193.96876786922829</v>
      </c>
      <c r="C5" s="239">
        <v>283.85712157267199</v>
      </c>
      <c r="D5" s="239">
        <v>337.27910131220023</v>
      </c>
      <c r="E5" s="239">
        <v>376.74075616572765</v>
      </c>
      <c r="F5" s="239">
        <v>414.4148317823005</v>
      </c>
      <c r="G5" s="239">
        <v>450.46892214736056</v>
      </c>
    </row>
    <row r="6" spans="1:7" x14ac:dyDescent="0.25">
      <c r="A6" s="129">
        <v>850</v>
      </c>
      <c r="B6" s="239">
        <v>203.10939254945228</v>
      </c>
      <c r="C6" s="239">
        <v>297.05182170466395</v>
      </c>
      <c r="D6" s="239">
        <v>352.77434221288627</v>
      </c>
      <c r="E6" s="239">
        <v>394.04894025179391</v>
      </c>
      <c r="F6" s="239">
        <v>433.4538342769734</v>
      </c>
      <c r="G6" s="239">
        <v>471.16431785906997</v>
      </c>
    </row>
    <row r="7" spans="1:7" x14ac:dyDescent="0.25">
      <c r="A7" s="129">
        <v>900</v>
      </c>
      <c r="B7" s="239">
        <v>212.13308680745226</v>
      </c>
      <c r="C7" s="239">
        <v>310.07773010616393</v>
      </c>
      <c r="D7" s="239">
        <v>368.07136197176123</v>
      </c>
      <c r="E7" s="239">
        <v>411.13571132245727</v>
      </c>
      <c r="F7" s="239">
        <v>452.24928245470306</v>
      </c>
      <c r="G7" s="239">
        <v>491.59497002826214</v>
      </c>
    </row>
    <row r="8" spans="1:7" x14ac:dyDescent="0.25">
      <c r="A8" s="129">
        <v>950</v>
      </c>
      <c r="B8" s="239">
        <v>221.15678106545226</v>
      </c>
      <c r="C8" s="239">
        <v>323.10363850766396</v>
      </c>
      <c r="D8" s="239">
        <v>383.3683817306362</v>
      </c>
      <c r="E8" s="239">
        <v>428.22248239312063</v>
      </c>
      <c r="F8" s="239">
        <v>471.04473063243279</v>
      </c>
      <c r="G8" s="239">
        <v>512.02562219745437</v>
      </c>
    </row>
    <row r="9" spans="1:7" x14ac:dyDescent="0.25">
      <c r="A9" s="129">
        <v>1000</v>
      </c>
      <c r="B9" s="239">
        <v>230.18047532345227</v>
      </c>
      <c r="C9" s="239">
        <v>336.12954690916393</v>
      </c>
      <c r="D9" s="239">
        <v>398.66540148951123</v>
      </c>
      <c r="E9" s="239">
        <v>445.30925346378405</v>
      </c>
      <c r="F9" s="239">
        <v>489.84017881016251</v>
      </c>
      <c r="G9" s="239">
        <v>532.45627436664654</v>
      </c>
    </row>
    <row r="10" spans="1:7" x14ac:dyDescent="0.25">
      <c r="A10" s="129">
        <v>1050</v>
      </c>
      <c r="B10" s="239">
        <v>240.00019780145226</v>
      </c>
      <c r="C10" s="239">
        <v>350.30454019566389</v>
      </c>
      <c r="D10" s="239">
        <v>415.31185298463618</v>
      </c>
      <c r="E10" s="239">
        <v>463.90333978383865</v>
      </c>
      <c r="F10" s="239">
        <v>510.29367376222257</v>
      </c>
      <c r="G10" s="239">
        <v>554.68922337953586</v>
      </c>
    </row>
    <row r="11" spans="1:7" x14ac:dyDescent="0.25">
      <c r="A11" s="129">
        <v>1100</v>
      </c>
      <c r="B11" s="239">
        <v>249.96279713945228</v>
      </c>
      <c r="C11" s="239">
        <v>364.68577948716393</v>
      </c>
      <c r="D11" s="239">
        <v>432.20051017601122</v>
      </c>
      <c r="E11" s="239">
        <v>482.76796986660452</v>
      </c>
      <c r="F11" s="239">
        <v>531.04476685326506</v>
      </c>
      <c r="G11" s="239">
        <v>577.24566156949902</v>
      </c>
    </row>
    <row r="12" spans="1:7" x14ac:dyDescent="0.25">
      <c r="A12" s="129">
        <v>1150</v>
      </c>
      <c r="B12" s="239">
        <v>259.9253964774523</v>
      </c>
      <c r="C12" s="239">
        <v>379.06701877866396</v>
      </c>
      <c r="D12" s="239">
        <v>449.08916736738627</v>
      </c>
      <c r="E12" s="239">
        <v>501.63259994937039</v>
      </c>
      <c r="F12" s="239">
        <v>551.79585994430761</v>
      </c>
      <c r="G12" s="239">
        <v>599.80209975946218</v>
      </c>
    </row>
    <row r="13" spans="1:7" x14ac:dyDescent="0.25">
      <c r="A13" s="129">
        <v>1200</v>
      </c>
      <c r="B13" s="239">
        <v>269.88799581545226</v>
      </c>
      <c r="C13" s="239">
        <v>393.44825807016394</v>
      </c>
      <c r="D13" s="239">
        <v>465.9778245587612</v>
      </c>
      <c r="E13" s="239">
        <v>520.49723003213626</v>
      </c>
      <c r="F13" s="239">
        <v>572.54695303535004</v>
      </c>
      <c r="G13" s="239">
        <v>622.35853794942534</v>
      </c>
    </row>
    <row r="14" spans="1:7" x14ac:dyDescent="0.25">
      <c r="A14" s="129">
        <v>1250</v>
      </c>
      <c r="B14" s="239">
        <v>278.86818855999786</v>
      </c>
      <c r="C14" s="239">
        <v>406.41137104515877</v>
      </c>
      <c r="D14" s="239">
        <v>481.20110029530713</v>
      </c>
      <c r="E14" s="239">
        <v>537.50162902985812</v>
      </c>
      <c r="F14" s="239">
        <v>591.25179193284396</v>
      </c>
      <c r="G14" s="239">
        <v>642.69069783100133</v>
      </c>
    </row>
    <row r="15" spans="1:7" x14ac:dyDescent="0.25">
      <c r="A15" s="129">
        <v>1300</v>
      </c>
      <c r="B15" s="239">
        <v>288.72056860599787</v>
      </c>
      <c r="C15" s="239">
        <v>420.63350627565876</v>
      </c>
      <c r="D15" s="239">
        <v>497.90291309243213</v>
      </c>
      <c r="E15" s="239">
        <v>556.15755392424671</v>
      </c>
      <c r="F15" s="239">
        <v>611.77330931667143</v>
      </c>
      <c r="G15" s="239">
        <v>664.99758722722174</v>
      </c>
    </row>
    <row r="16" spans="1:7" x14ac:dyDescent="0.25">
      <c r="A16" s="129">
        <v>1350</v>
      </c>
      <c r="B16" s="239">
        <v>298.57294865199782</v>
      </c>
      <c r="C16" s="239">
        <v>434.85564150615869</v>
      </c>
      <c r="D16" s="239">
        <v>514.60472588955713</v>
      </c>
      <c r="E16" s="239">
        <v>574.8134788186353</v>
      </c>
      <c r="F16" s="239">
        <v>632.2948267004989</v>
      </c>
      <c r="G16" s="239">
        <v>687.30447662344216</v>
      </c>
    </row>
    <row r="17" spans="1:7" x14ac:dyDescent="0.25">
      <c r="A17" s="129">
        <v>1400</v>
      </c>
      <c r="B17" s="239">
        <v>308.42532869799788</v>
      </c>
      <c r="C17" s="239">
        <v>449.07777673665873</v>
      </c>
      <c r="D17" s="239">
        <v>531.30653868668219</v>
      </c>
      <c r="E17" s="239">
        <v>593.46940371302389</v>
      </c>
      <c r="F17" s="239">
        <v>652.81634408432637</v>
      </c>
      <c r="G17" s="239">
        <v>709.61136601966268</v>
      </c>
    </row>
    <row r="18" spans="1:7" x14ac:dyDescent="0.25">
      <c r="A18" s="129">
        <v>1450</v>
      </c>
      <c r="B18" s="239">
        <v>318.15150275602264</v>
      </c>
      <c r="C18" s="239">
        <v>463.11773074602218</v>
      </c>
      <c r="D18" s="239">
        <v>547.79440634819559</v>
      </c>
      <c r="E18" s="239">
        <v>611.88635189093452</v>
      </c>
      <c r="F18" s="239">
        <v>673.074987080028</v>
      </c>
      <c r="G18" s="239">
        <v>731.63251095599037</v>
      </c>
    </row>
    <row r="19" spans="1:7" x14ac:dyDescent="0.25">
      <c r="A19" s="129">
        <v>1500</v>
      </c>
      <c r="B19" s="239">
        <v>327.27521081602265</v>
      </c>
      <c r="C19" s="239">
        <v>476.28801135102219</v>
      </c>
      <c r="D19" s="239">
        <v>563.26097009444561</v>
      </c>
      <c r="E19" s="239">
        <v>629.16250359549576</v>
      </c>
      <c r="F19" s="239">
        <v>692.07875395504539</v>
      </c>
      <c r="G19" s="239">
        <v>752.28960554913419</v>
      </c>
    </row>
    <row r="20" spans="1:7" x14ac:dyDescent="0.25">
      <c r="A20" s="129">
        <v>1550</v>
      </c>
      <c r="B20" s="239">
        <v>336.39891887602266</v>
      </c>
      <c r="C20" s="239">
        <v>489.45829195602215</v>
      </c>
      <c r="D20" s="239">
        <v>578.72753384069551</v>
      </c>
      <c r="E20" s="239">
        <v>646.43865530005701</v>
      </c>
      <c r="F20" s="239">
        <v>711.08252083006278</v>
      </c>
      <c r="G20" s="239">
        <v>772.94670014227813</v>
      </c>
    </row>
    <row r="21" spans="1:7" x14ac:dyDescent="0.25">
      <c r="A21" s="129">
        <v>1600</v>
      </c>
      <c r="B21" s="239">
        <v>345.52262693602268</v>
      </c>
      <c r="C21" s="239">
        <v>502.62857256102217</v>
      </c>
      <c r="D21" s="239">
        <v>594.19409758694565</v>
      </c>
      <c r="E21" s="239">
        <v>663.71480700461825</v>
      </c>
      <c r="F21" s="239">
        <v>730.08628770508017</v>
      </c>
      <c r="G21" s="239">
        <v>793.60379473542207</v>
      </c>
    </row>
    <row r="22" spans="1:7" x14ac:dyDescent="0.25">
      <c r="A22" s="129">
        <v>1650</v>
      </c>
      <c r="B22" s="239">
        <v>354.64633499602269</v>
      </c>
      <c r="C22" s="239">
        <v>515.79885316602213</v>
      </c>
      <c r="D22" s="239">
        <v>609.66066133319555</v>
      </c>
      <c r="E22" s="239">
        <v>680.99095870917949</v>
      </c>
      <c r="F22" s="239">
        <v>749.09005458009756</v>
      </c>
      <c r="G22" s="239">
        <v>814.2608893285659</v>
      </c>
    </row>
    <row r="23" spans="1:7" x14ac:dyDescent="0.25">
      <c r="A23" s="129">
        <v>1700</v>
      </c>
      <c r="B23" s="239">
        <v>363.77004305602264</v>
      </c>
      <c r="C23" s="239">
        <v>528.96913377102214</v>
      </c>
      <c r="D23" s="239">
        <v>625.12722507944557</v>
      </c>
      <c r="E23" s="239">
        <v>698.26711041374074</v>
      </c>
      <c r="F23" s="239">
        <v>768.09382145511495</v>
      </c>
      <c r="G23" s="239">
        <v>834.91798392170972</v>
      </c>
    </row>
    <row r="24" spans="1:7" x14ac:dyDescent="0.25">
      <c r="A24" s="129">
        <v>1750</v>
      </c>
      <c r="B24" s="239">
        <v>372.89375111602266</v>
      </c>
      <c r="C24" s="239">
        <v>542.13941437602216</v>
      </c>
      <c r="D24" s="239">
        <v>640.59378882569558</v>
      </c>
      <c r="E24" s="239">
        <v>715.54326211830198</v>
      </c>
      <c r="F24" s="239">
        <v>787.09758833013234</v>
      </c>
      <c r="G24" s="239">
        <v>855.57507851485366</v>
      </c>
    </row>
    <row r="25" spans="1:7" x14ac:dyDescent="0.25">
      <c r="A25" s="129">
        <v>1800</v>
      </c>
      <c r="B25" s="239">
        <v>382.01745917602261</v>
      </c>
      <c r="C25" s="239">
        <v>555.30969498102218</v>
      </c>
      <c r="D25" s="239">
        <v>656.0603525719456</v>
      </c>
      <c r="E25" s="239">
        <v>732.81941382286323</v>
      </c>
      <c r="F25" s="239">
        <v>806.10135520514973</v>
      </c>
      <c r="G25" s="239">
        <v>876.2321731079976</v>
      </c>
    </row>
    <row r="26" spans="1:7" x14ac:dyDescent="0.25">
      <c r="A26" s="129">
        <v>1850</v>
      </c>
      <c r="B26" s="239">
        <v>391.14116723602262</v>
      </c>
      <c r="C26" s="239">
        <v>568.47997558602208</v>
      </c>
      <c r="D26" s="239">
        <v>671.5269163181955</v>
      </c>
      <c r="E26" s="239">
        <v>750.09556552742436</v>
      </c>
      <c r="F26" s="239">
        <v>825.10512208016689</v>
      </c>
      <c r="G26" s="239">
        <v>896.88926770114131</v>
      </c>
    </row>
    <row r="27" spans="1:7" x14ac:dyDescent="0.25">
      <c r="A27" s="129">
        <v>1900</v>
      </c>
      <c r="B27" s="239">
        <v>400.26487529602264</v>
      </c>
      <c r="C27" s="239">
        <v>581.65025619102221</v>
      </c>
      <c r="D27" s="239">
        <v>686.99348006444552</v>
      </c>
      <c r="E27" s="239">
        <v>767.37171723198571</v>
      </c>
      <c r="F27" s="239">
        <v>844.10888895518451</v>
      </c>
      <c r="G27" s="239">
        <v>917.54636229428536</v>
      </c>
    </row>
    <row r="28" spans="1:7" x14ac:dyDescent="0.25">
      <c r="A28" s="129">
        <v>1950</v>
      </c>
      <c r="B28" s="239">
        <v>409.27182377605021</v>
      </c>
      <c r="C28" s="239">
        <v>594.61222443073177</v>
      </c>
      <c r="D28" s="239">
        <v>702.17341716827775</v>
      </c>
      <c r="E28" s="239">
        <v>784.32770697696628</v>
      </c>
      <c r="F28" s="239">
        <v>862.76047767466309</v>
      </c>
      <c r="G28" s="239">
        <v>937.82063923235876</v>
      </c>
    </row>
    <row r="29" spans="1:7" x14ac:dyDescent="0.25">
      <c r="A29" s="129">
        <v>2000</v>
      </c>
      <c r="B29" s="239">
        <v>418.15217269201054</v>
      </c>
      <c r="C29" s="239">
        <v>607.34832465479917</v>
      </c>
      <c r="D29" s="239">
        <v>717.0425719963539</v>
      </c>
      <c r="E29" s="239">
        <v>800.93655291992729</v>
      </c>
      <c r="F29" s="239">
        <v>881.03020821192013</v>
      </c>
      <c r="G29" s="239">
        <v>957.67983632635719</v>
      </c>
    </row>
    <row r="30" spans="1:7" x14ac:dyDescent="0.25">
      <c r="A30" s="129">
        <v>2050</v>
      </c>
      <c r="B30" s="239">
        <v>427.03252160797092</v>
      </c>
      <c r="C30" s="239">
        <v>620.08442487886657</v>
      </c>
      <c r="D30" s="239">
        <v>731.91172682442993</v>
      </c>
      <c r="E30" s="239">
        <v>817.54539886288831</v>
      </c>
      <c r="F30" s="239">
        <v>899.29993874917727</v>
      </c>
      <c r="G30" s="239">
        <v>977.53903342035562</v>
      </c>
    </row>
    <row r="31" spans="1:7" x14ac:dyDescent="0.25">
      <c r="A31" s="129">
        <v>2100</v>
      </c>
      <c r="B31" s="239">
        <v>435.91287052393125</v>
      </c>
      <c r="C31" s="239">
        <v>632.82052510293397</v>
      </c>
      <c r="D31" s="239">
        <v>746.78088165250597</v>
      </c>
      <c r="E31" s="239">
        <v>834.1542448058492</v>
      </c>
      <c r="F31" s="239">
        <v>917.5696692864343</v>
      </c>
      <c r="G31" s="239">
        <v>997.39823051435405</v>
      </c>
    </row>
    <row r="32" spans="1:7" x14ac:dyDescent="0.25">
      <c r="A32" s="129">
        <v>2150</v>
      </c>
      <c r="B32" s="239">
        <v>444.79321943989157</v>
      </c>
      <c r="C32" s="239">
        <v>645.55662532700137</v>
      </c>
      <c r="D32" s="239">
        <v>761.65003648058212</v>
      </c>
      <c r="E32" s="239">
        <v>850.76309074881021</v>
      </c>
      <c r="F32" s="239">
        <v>935.83939982369134</v>
      </c>
      <c r="G32" s="239">
        <v>1017.2574276083525</v>
      </c>
    </row>
    <row r="33" spans="1:7" x14ac:dyDescent="0.25">
      <c r="A33" s="129">
        <v>2200</v>
      </c>
      <c r="B33" s="239">
        <v>453.6735683558519</v>
      </c>
      <c r="C33" s="239">
        <v>658.29272555106877</v>
      </c>
      <c r="D33" s="239">
        <v>776.51919130865815</v>
      </c>
      <c r="E33" s="239">
        <v>867.37193669177123</v>
      </c>
      <c r="F33" s="239">
        <v>954.10913036094848</v>
      </c>
      <c r="G33" s="239">
        <v>1037.1166247023509</v>
      </c>
    </row>
    <row r="34" spans="1:7" x14ac:dyDescent="0.25">
      <c r="A34" s="129">
        <v>2250</v>
      </c>
      <c r="B34" s="239">
        <v>462.55391727181222</v>
      </c>
      <c r="C34" s="239">
        <v>671.02882577513606</v>
      </c>
      <c r="D34" s="239">
        <v>791.3883461367343</v>
      </c>
      <c r="E34" s="239">
        <v>883.98078263473212</v>
      </c>
      <c r="F34" s="239">
        <v>972.37886089820552</v>
      </c>
      <c r="G34" s="239">
        <v>1056.9758217963495</v>
      </c>
    </row>
    <row r="35" spans="1:7" x14ac:dyDescent="0.25">
      <c r="A35" s="129">
        <v>2300</v>
      </c>
      <c r="B35" s="239">
        <v>471.43426618777261</v>
      </c>
      <c r="C35" s="239">
        <v>683.76492599920357</v>
      </c>
      <c r="D35" s="239">
        <v>806.25750096481033</v>
      </c>
      <c r="E35" s="239">
        <v>900.58962857769313</v>
      </c>
      <c r="F35" s="239">
        <v>990.64859143546255</v>
      </c>
      <c r="G35" s="239">
        <v>1076.8350188903478</v>
      </c>
    </row>
    <row r="36" spans="1:7" x14ac:dyDescent="0.25">
      <c r="A36" s="129">
        <v>2350</v>
      </c>
      <c r="B36" s="239">
        <v>480.31461510373293</v>
      </c>
      <c r="C36" s="239">
        <v>696.50102622327086</v>
      </c>
      <c r="D36" s="239">
        <v>821.12665579288637</v>
      </c>
      <c r="E36" s="239">
        <v>917.19847452065414</v>
      </c>
      <c r="F36" s="239">
        <v>1008.9183219727197</v>
      </c>
      <c r="G36" s="239">
        <v>1096.6942159843463</v>
      </c>
    </row>
    <row r="37" spans="1:7" x14ac:dyDescent="0.25">
      <c r="A37" s="129">
        <v>2400</v>
      </c>
      <c r="B37" s="239">
        <v>489.19496401969326</v>
      </c>
      <c r="C37" s="239">
        <v>709.23712644733826</v>
      </c>
      <c r="D37" s="239">
        <v>835.9958106209624</v>
      </c>
      <c r="E37" s="239">
        <v>933.80732046361504</v>
      </c>
      <c r="F37" s="239">
        <v>1027.1880525099768</v>
      </c>
      <c r="G37" s="239">
        <v>1116.5534130783446</v>
      </c>
    </row>
    <row r="38" spans="1:7" x14ac:dyDescent="0.25">
      <c r="A38" s="129">
        <v>2450</v>
      </c>
      <c r="B38" s="239">
        <v>498.07531293565359</v>
      </c>
      <c r="C38" s="239">
        <v>721.97322667140565</v>
      </c>
      <c r="D38" s="239">
        <v>850.86496544903855</v>
      </c>
      <c r="E38" s="239">
        <v>950.41616640657605</v>
      </c>
      <c r="F38" s="239">
        <v>1045.4577830472338</v>
      </c>
      <c r="G38" s="239">
        <v>1136.4126101723432</v>
      </c>
    </row>
    <row r="39" spans="1:7" x14ac:dyDescent="0.25">
      <c r="A39" s="129">
        <v>2500</v>
      </c>
      <c r="B39" s="239">
        <v>506.95566185161397</v>
      </c>
      <c r="C39" s="239">
        <v>734.70932689547305</v>
      </c>
      <c r="D39" s="239">
        <v>865.73412027711458</v>
      </c>
      <c r="E39" s="239">
        <v>967.02501234953706</v>
      </c>
      <c r="F39" s="239">
        <v>1063.7275135844909</v>
      </c>
      <c r="G39" s="239">
        <v>1156.2718072663415</v>
      </c>
    </row>
    <row r="40" spans="1:7" x14ac:dyDescent="0.25">
      <c r="A40" s="129">
        <v>2550</v>
      </c>
      <c r="B40" s="239">
        <v>515.83601076757418</v>
      </c>
      <c r="C40" s="239">
        <v>747.44542711954045</v>
      </c>
      <c r="D40" s="239">
        <v>880.60327510519062</v>
      </c>
      <c r="E40" s="239">
        <v>983.63385829249796</v>
      </c>
      <c r="F40" s="239">
        <v>1081.9972441217478</v>
      </c>
      <c r="G40" s="239">
        <v>1176.1310043603398</v>
      </c>
    </row>
    <row r="41" spans="1:7" x14ac:dyDescent="0.25">
      <c r="A41" s="129">
        <v>2600</v>
      </c>
      <c r="B41" s="239">
        <v>524.71635968353462</v>
      </c>
      <c r="C41" s="239">
        <v>760.18152734360797</v>
      </c>
      <c r="D41" s="239">
        <v>895.47242993326688</v>
      </c>
      <c r="E41" s="239">
        <v>1000.2427042354591</v>
      </c>
      <c r="F41" s="239">
        <v>1100.2669746590052</v>
      </c>
      <c r="G41" s="239">
        <v>1195.9902014543386</v>
      </c>
    </row>
    <row r="42" spans="1:7" x14ac:dyDescent="0.25">
      <c r="A42" s="129">
        <v>2650</v>
      </c>
      <c r="B42" s="239">
        <v>533.59670859949506</v>
      </c>
      <c r="C42" s="239">
        <v>772.91762756767537</v>
      </c>
      <c r="D42" s="239">
        <v>910.34158476134292</v>
      </c>
      <c r="E42" s="239">
        <v>1016.8515501784201</v>
      </c>
      <c r="F42" s="239">
        <v>1118.5367051962621</v>
      </c>
      <c r="G42" s="239">
        <v>1215.8493985483369</v>
      </c>
    </row>
    <row r="43" spans="1:7" x14ac:dyDescent="0.25">
      <c r="A43" s="129">
        <v>2700</v>
      </c>
      <c r="B43" s="239">
        <v>542.47705751545539</v>
      </c>
      <c r="C43" s="239">
        <v>785.65372779174277</v>
      </c>
      <c r="D43" s="239">
        <v>925.21073958941906</v>
      </c>
      <c r="E43" s="239">
        <v>1033.4603961213811</v>
      </c>
      <c r="F43" s="239">
        <v>1136.8064357335193</v>
      </c>
      <c r="G43" s="239">
        <v>1235.7085956423355</v>
      </c>
    </row>
    <row r="44" spans="1:7" x14ac:dyDescent="0.25">
      <c r="A44" s="129">
        <v>2750</v>
      </c>
      <c r="B44" s="239">
        <v>551.35740643141571</v>
      </c>
      <c r="C44" s="239">
        <v>798.38982801581017</v>
      </c>
      <c r="D44" s="239">
        <v>940.0798944174951</v>
      </c>
      <c r="E44" s="239">
        <v>1050.069242064342</v>
      </c>
      <c r="F44" s="239">
        <v>1155.0761662707764</v>
      </c>
      <c r="G44" s="239">
        <v>1255.567792736334</v>
      </c>
    </row>
    <row r="45" spans="1:7" x14ac:dyDescent="0.25">
      <c r="A45" s="129">
        <v>2800</v>
      </c>
      <c r="B45" s="239">
        <v>560.23775534737604</v>
      </c>
      <c r="C45" s="239">
        <v>811.12592823987757</v>
      </c>
      <c r="D45" s="239">
        <v>954.94904924557113</v>
      </c>
      <c r="E45" s="239">
        <v>1066.6780880073029</v>
      </c>
      <c r="F45" s="239">
        <v>1173.3458968080336</v>
      </c>
      <c r="G45" s="239">
        <v>1275.4269898303323</v>
      </c>
    </row>
    <row r="46" spans="1:7" x14ac:dyDescent="0.25">
      <c r="A46" s="129">
        <v>2850</v>
      </c>
      <c r="B46" s="239">
        <v>569.11810426333636</v>
      </c>
      <c r="C46" s="239">
        <v>823.86202846394497</v>
      </c>
      <c r="D46" s="239">
        <v>969.81820407364717</v>
      </c>
      <c r="E46" s="239">
        <v>1083.286933950264</v>
      </c>
      <c r="F46" s="239">
        <v>1191.6156273452905</v>
      </c>
      <c r="G46" s="239">
        <v>1295.2861869243307</v>
      </c>
    </row>
    <row r="47" spans="1:7" x14ac:dyDescent="0.25">
      <c r="A47" s="129">
        <v>2900</v>
      </c>
      <c r="B47" s="239">
        <v>578.13345819111282</v>
      </c>
      <c r="C47" s="239">
        <v>836.92960641189154</v>
      </c>
      <c r="D47" s="239">
        <v>985.26537706215618</v>
      </c>
      <c r="E47" s="239">
        <v>1100.5414261784285</v>
      </c>
      <c r="F47" s="239">
        <v>1210.5955687962717</v>
      </c>
      <c r="G47" s="239">
        <v>1315.9173832815472</v>
      </c>
    </row>
    <row r="48" spans="1:7" x14ac:dyDescent="0.25">
      <c r="A48" s="129">
        <v>2950</v>
      </c>
      <c r="B48" s="239">
        <v>587.16666856675749</v>
      </c>
      <c r="C48" s="239">
        <v>850.04102728549162</v>
      </c>
      <c r="D48" s="239">
        <v>1000.7890016653851</v>
      </c>
      <c r="E48" s="239">
        <v>1117.8813148602351</v>
      </c>
      <c r="F48" s="239">
        <v>1229.6694463462591</v>
      </c>
      <c r="G48" s="239">
        <v>1336.6506881783835</v>
      </c>
    </row>
    <row r="49" spans="1:7" x14ac:dyDescent="0.25">
      <c r="A49" s="129">
        <v>3000</v>
      </c>
      <c r="B49" s="239">
        <v>596.19987894240217</v>
      </c>
      <c r="C49" s="239">
        <v>863.1524481590917</v>
      </c>
      <c r="D49" s="239">
        <v>1016.3126262686141</v>
      </c>
      <c r="E49" s="239">
        <v>1135.2212035420418</v>
      </c>
      <c r="F49" s="239">
        <v>1248.7433238962462</v>
      </c>
      <c r="G49" s="239">
        <v>1357.3839930752197</v>
      </c>
    </row>
    <row r="50" spans="1:7" x14ac:dyDescent="0.25">
      <c r="A50" s="129">
        <v>3050</v>
      </c>
      <c r="B50" s="239">
        <v>605.23308931804684</v>
      </c>
      <c r="C50" s="239">
        <v>876.26386903269179</v>
      </c>
      <c r="D50" s="239">
        <v>1031.8362508718428</v>
      </c>
      <c r="E50" s="239">
        <v>1152.5610922238486</v>
      </c>
      <c r="F50" s="239">
        <v>1267.8172014462336</v>
      </c>
      <c r="G50" s="239">
        <v>1378.1172979720561</v>
      </c>
    </row>
    <row r="51" spans="1:7" x14ac:dyDescent="0.25">
      <c r="A51" s="129">
        <v>3100</v>
      </c>
      <c r="B51" s="239">
        <v>614.26629969369151</v>
      </c>
      <c r="C51" s="239">
        <v>889.37528990629187</v>
      </c>
      <c r="D51" s="239">
        <v>1047.3598754750719</v>
      </c>
      <c r="E51" s="239">
        <v>1169.9009809056554</v>
      </c>
      <c r="F51" s="239">
        <v>1286.891078996221</v>
      </c>
      <c r="G51" s="239">
        <v>1398.8506028688923</v>
      </c>
    </row>
    <row r="52" spans="1:7" x14ac:dyDescent="0.25">
      <c r="A52" s="129">
        <v>3150</v>
      </c>
      <c r="B52" s="239">
        <v>623.29951006933607</v>
      </c>
      <c r="C52" s="239">
        <v>902.48671077989195</v>
      </c>
      <c r="D52" s="239">
        <v>1062.8835000783008</v>
      </c>
      <c r="E52" s="239">
        <v>1187.2408695874619</v>
      </c>
      <c r="F52" s="239">
        <v>1305.9649565462084</v>
      </c>
      <c r="G52" s="239">
        <v>1419.5839077657286</v>
      </c>
    </row>
    <row r="53" spans="1:7" x14ac:dyDescent="0.25">
      <c r="A53" s="129">
        <v>3200</v>
      </c>
      <c r="B53" s="239">
        <v>632.33272044498074</v>
      </c>
      <c r="C53" s="239">
        <v>915.59813165349203</v>
      </c>
      <c r="D53" s="239">
        <v>1078.4071246815297</v>
      </c>
      <c r="E53" s="239">
        <v>1204.5807582692687</v>
      </c>
      <c r="F53" s="239">
        <v>1325.0388340961958</v>
      </c>
      <c r="G53" s="239">
        <v>1440.317212662565</v>
      </c>
    </row>
    <row r="54" spans="1:7" x14ac:dyDescent="0.25">
      <c r="A54" s="129">
        <v>3250</v>
      </c>
      <c r="B54" s="239">
        <v>641.36593082062541</v>
      </c>
      <c r="C54" s="239">
        <v>928.70955252709223</v>
      </c>
      <c r="D54" s="239">
        <v>1093.9307492847586</v>
      </c>
      <c r="E54" s="239">
        <v>1221.9206469510755</v>
      </c>
      <c r="F54" s="239">
        <v>1344.1127116461832</v>
      </c>
      <c r="G54" s="239">
        <v>1461.0505175594012</v>
      </c>
    </row>
    <row r="55" spans="1:7" x14ac:dyDescent="0.25">
      <c r="A55" s="129">
        <v>3300</v>
      </c>
      <c r="B55" s="239">
        <v>650.39914119627008</v>
      </c>
      <c r="C55" s="239">
        <v>941.82097340069231</v>
      </c>
      <c r="D55" s="239">
        <v>1109.4543738879875</v>
      </c>
      <c r="E55" s="239">
        <v>1239.2605356328822</v>
      </c>
      <c r="F55" s="239">
        <v>1363.1865891961706</v>
      </c>
      <c r="G55" s="239">
        <v>1481.7838224562374</v>
      </c>
    </row>
    <row r="56" spans="1:7" x14ac:dyDescent="0.25">
      <c r="A56" s="129">
        <v>3350</v>
      </c>
      <c r="B56" s="239">
        <v>659.43235157191475</v>
      </c>
      <c r="C56" s="239">
        <v>954.93239427429239</v>
      </c>
      <c r="D56" s="239">
        <v>1124.9779984912166</v>
      </c>
      <c r="E56" s="239">
        <v>1256.6004243146888</v>
      </c>
      <c r="F56" s="239">
        <v>1382.260466746158</v>
      </c>
      <c r="G56" s="239">
        <v>1502.5171273530739</v>
      </c>
    </row>
    <row r="57" spans="1:7" x14ac:dyDescent="0.25">
      <c r="A57" s="129">
        <v>3400</v>
      </c>
      <c r="B57" s="239">
        <v>668.46556194755942</v>
      </c>
      <c r="C57" s="239">
        <v>968.04381514789247</v>
      </c>
      <c r="D57" s="239">
        <v>1140.5016230944454</v>
      </c>
      <c r="E57" s="239">
        <v>1273.9403129964955</v>
      </c>
      <c r="F57" s="239">
        <v>1401.3343442961454</v>
      </c>
      <c r="G57" s="239">
        <v>1523.2504322499101</v>
      </c>
    </row>
    <row r="58" spans="1:7" x14ac:dyDescent="0.25">
      <c r="A58" s="129">
        <v>3450</v>
      </c>
      <c r="B58" s="239">
        <v>676.44084637442108</v>
      </c>
      <c r="C58" s="239">
        <v>979.61968976597802</v>
      </c>
      <c r="D58" s="239">
        <v>1154.2071957976323</v>
      </c>
      <c r="E58" s="239">
        <v>1289.2494377059552</v>
      </c>
      <c r="F58" s="239">
        <v>1418.1743814765509</v>
      </c>
      <c r="G58" s="239">
        <v>1541.555552665011</v>
      </c>
    </row>
    <row r="59" spans="1:7" x14ac:dyDescent="0.25">
      <c r="A59" s="129">
        <v>3500</v>
      </c>
      <c r="B59" s="239">
        <v>684.03116811288214</v>
      </c>
      <c r="C59" s="239">
        <v>990.63680314433179</v>
      </c>
      <c r="D59" s="239">
        <v>1167.2512078803452</v>
      </c>
      <c r="E59" s="239">
        <v>1303.8195992023457</v>
      </c>
      <c r="F59" s="239">
        <v>1434.2015591225804</v>
      </c>
      <c r="G59" s="239">
        <v>1558.977094766245</v>
      </c>
    </row>
    <row r="60" spans="1:7" x14ac:dyDescent="0.25">
      <c r="A60" s="129">
        <v>3550</v>
      </c>
      <c r="B60" s="239">
        <v>691.62148985134343</v>
      </c>
      <c r="C60" s="239">
        <v>1001.6539165226858</v>
      </c>
      <c r="D60" s="239">
        <v>1180.2952199630586</v>
      </c>
      <c r="E60" s="239">
        <v>1318.3897606987364</v>
      </c>
      <c r="F60" s="239">
        <v>1450.2287367686104</v>
      </c>
      <c r="G60" s="239">
        <v>1576.3986368674794</v>
      </c>
    </row>
    <row r="61" spans="1:7" x14ac:dyDescent="0.25">
      <c r="A61" s="129">
        <v>3600</v>
      </c>
      <c r="B61" s="239">
        <v>699.21181158980448</v>
      </c>
      <c r="C61" s="239">
        <v>1012.6710299010397</v>
      </c>
      <c r="D61" s="239">
        <v>1193.3392320457715</v>
      </c>
      <c r="E61" s="239">
        <v>1332.9599221951269</v>
      </c>
      <c r="F61" s="239">
        <v>1466.2559144146398</v>
      </c>
      <c r="G61" s="239">
        <v>1593.8201789687134</v>
      </c>
    </row>
    <row r="62" spans="1:7" x14ac:dyDescent="0.25">
      <c r="A62" s="129">
        <v>3650</v>
      </c>
      <c r="B62" s="239">
        <v>706.80213332826565</v>
      </c>
      <c r="C62" s="239">
        <v>1023.6881432793936</v>
      </c>
      <c r="D62" s="239">
        <v>1206.3832441284846</v>
      </c>
      <c r="E62" s="239">
        <v>1347.5300836915176</v>
      </c>
      <c r="F62" s="239">
        <v>1482.2830920606696</v>
      </c>
      <c r="G62" s="239">
        <v>1611.2417210699477</v>
      </c>
    </row>
    <row r="63" spans="1:7" x14ac:dyDescent="0.25">
      <c r="A63" s="129">
        <v>3700</v>
      </c>
      <c r="B63" s="239">
        <v>714.39245506672682</v>
      </c>
      <c r="C63" s="239">
        <v>1034.7052566577477</v>
      </c>
      <c r="D63" s="239">
        <v>1219.427256211198</v>
      </c>
      <c r="E63" s="239">
        <v>1362.1002451879081</v>
      </c>
      <c r="F63" s="239">
        <v>1498.3102697066993</v>
      </c>
      <c r="G63" s="239">
        <v>1628.6632631711823</v>
      </c>
    </row>
    <row r="64" spans="1:7" x14ac:dyDescent="0.25">
      <c r="A64" s="129">
        <v>3750</v>
      </c>
      <c r="B64" s="239">
        <v>721.982776805188</v>
      </c>
      <c r="C64" s="239">
        <v>1045.7223700361014</v>
      </c>
      <c r="D64" s="239">
        <v>1232.471268293911</v>
      </c>
      <c r="E64" s="239">
        <v>1376.6704066842985</v>
      </c>
      <c r="F64" s="239">
        <v>1514.3374473527288</v>
      </c>
      <c r="G64" s="239">
        <v>1646.0848052724164</v>
      </c>
    </row>
    <row r="65" spans="1:7" x14ac:dyDescent="0.25">
      <c r="A65" s="129">
        <v>3800</v>
      </c>
      <c r="B65" s="239">
        <v>729.57309854364917</v>
      </c>
      <c r="C65" s="239">
        <v>1056.7394834144554</v>
      </c>
      <c r="D65" s="239">
        <v>1245.5152803766243</v>
      </c>
      <c r="E65" s="239">
        <v>1391.2405681806895</v>
      </c>
      <c r="F65" s="239">
        <v>1530.3646249987587</v>
      </c>
      <c r="G65" s="239">
        <v>1663.5063473736507</v>
      </c>
    </row>
    <row r="66" spans="1:7" x14ac:dyDescent="0.25">
      <c r="A66" s="129">
        <v>3850</v>
      </c>
      <c r="B66" s="239">
        <v>737.16342028211022</v>
      </c>
      <c r="C66" s="239">
        <v>1067.7565967928092</v>
      </c>
      <c r="D66" s="239">
        <v>1258.5592924593373</v>
      </c>
      <c r="E66" s="239">
        <v>1405.81072967708</v>
      </c>
      <c r="F66" s="239">
        <v>1546.3918026447882</v>
      </c>
      <c r="G66" s="239">
        <v>1680.9278894748848</v>
      </c>
    </row>
    <row r="67" spans="1:7" x14ac:dyDescent="0.25">
      <c r="A67" s="129">
        <v>3900</v>
      </c>
      <c r="B67" s="239">
        <v>742.59151194524679</v>
      </c>
      <c r="C67" s="239">
        <v>1075.3938437497118</v>
      </c>
      <c r="D67" s="239">
        <v>1267.2864726136929</v>
      </c>
      <c r="E67" s="239">
        <v>1415.558989909495</v>
      </c>
      <c r="F67" s="239">
        <v>1557.1148889004446</v>
      </c>
      <c r="G67" s="239">
        <v>1692.583884234783</v>
      </c>
    </row>
    <row r="68" spans="1:7" x14ac:dyDescent="0.25">
      <c r="A68" s="129">
        <v>3950</v>
      </c>
      <c r="B68" s="239">
        <v>747.6994158664952</v>
      </c>
      <c r="C68" s="239">
        <v>1082.5305927208919</v>
      </c>
      <c r="D68" s="239">
        <v>1275.374406888054</v>
      </c>
      <c r="E68" s="239">
        <v>1424.5932124939563</v>
      </c>
      <c r="F68" s="239">
        <v>1567.0525337433521</v>
      </c>
      <c r="G68" s="239">
        <v>1703.3861041790235</v>
      </c>
    </row>
    <row r="69" spans="1:7" x14ac:dyDescent="0.25">
      <c r="A69" s="129">
        <v>4000</v>
      </c>
      <c r="B69" s="239">
        <v>752.80731978774349</v>
      </c>
      <c r="C69" s="239">
        <v>1089.6673416920723</v>
      </c>
      <c r="D69" s="239">
        <v>1283.462341162415</v>
      </c>
      <c r="E69" s="239">
        <v>1433.6274350784176</v>
      </c>
      <c r="F69" s="239">
        <v>1576.9901785862594</v>
      </c>
      <c r="G69" s="239">
        <v>1714.1883241232638</v>
      </c>
    </row>
    <row r="70" spans="1:7" x14ac:dyDescent="0.25">
      <c r="A70" s="129">
        <v>4050</v>
      </c>
      <c r="B70" s="239">
        <v>757.9152237089919</v>
      </c>
      <c r="C70" s="239">
        <v>1096.8040906632525</v>
      </c>
      <c r="D70" s="239">
        <v>1291.550275436776</v>
      </c>
      <c r="E70" s="239">
        <v>1442.661657662879</v>
      </c>
      <c r="F70" s="239">
        <v>1586.9278234291669</v>
      </c>
      <c r="G70" s="239">
        <v>1724.9905440675041</v>
      </c>
    </row>
    <row r="71" spans="1:7" x14ac:dyDescent="0.25">
      <c r="A71" s="129">
        <v>4100</v>
      </c>
      <c r="B71" s="239">
        <v>763.0231276302402</v>
      </c>
      <c r="C71" s="239">
        <v>1103.9408396344327</v>
      </c>
      <c r="D71" s="239">
        <v>1299.6382097111371</v>
      </c>
      <c r="E71" s="239">
        <v>1451.69588024734</v>
      </c>
      <c r="F71" s="239">
        <v>1596.8654682720742</v>
      </c>
      <c r="G71" s="239">
        <v>1735.7927640117443</v>
      </c>
    </row>
    <row r="72" spans="1:7" x14ac:dyDescent="0.25">
      <c r="A72" s="129">
        <v>4150</v>
      </c>
      <c r="B72" s="239">
        <v>768.1310315514886</v>
      </c>
      <c r="C72" s="239">
        <v>1111.0775886056131</v>
      </c>
      <c r="D72" s="239">
        <v>1307.7261439854981</v>
      </c>
      <c r="E72" s="239">
        <v>1460.7301028318013</v>
      </c>
      <c r="F72" s="239">
        <v>1606.8031131149817</v>
      </c>
      <c r="G72" s="239">
        <v>1746.5949839559848</v>
      </c>
    </row>
    <row r="73" spans="1:7" x14ac:dyDescent="0.25">
      <c r="A73" s="129">
        <v>4200</v>
      </c>
      <c r="B73" s="239">
        <v>773.2389354727369</v>
      </c>
      <c r="C73" s="239">
        <v>1118.2143375767935</v>
      </c>
      <c r="D73" s="239">
        <v>1315.8140782598591</v>
      </c>
      <c r="E73" s="239">
        <v>1469.7643254162629</v>
      </c>
      <c r="F73" s="239">
        <v>1616.7407579578892</v>
      </c>
      <c r="G73" s="239">
        <v>1757.3972039002251</v>
      </c>
    </row>
    <row r="74" spans="1:7" x14ac:dyDescent="0.25">
      <c r="A74" s="129">
        <v>4250</v>
      </c>
      <c r="B74" s="239">
        <v>778.34683939398519</v>
      </c>
      <c r="C74" s="239">
        <v>1125.3510865479736</v>
      </c>
      <c r="D74" s="239">
        <v>1323.9020125342201</v>
      </c>
      <c r="E74" s="239">
        <v>1478.7985480007239</v>
      </c>
      <c r="F74" s="239">
        <v>1626.6784028007964</v>
      </c>
      <c r="G74" s="239">
        <v>1768.1994238444654</v>
      </c>
    </row>
    <row r="75" spans="1:7" x14ac:dyDescent="0.25">
      <c r="A75" s="129">
        <v>4300</v>
      </c>
      <c r="B75" s="239">
        <v>783.4547433152336</v>
      </c>
      <c r="C75" s="239">
        <v>1132.487835519154</v>
      </c>
      <c r="D75" s="239">
        <v>1331.9899468085812</v>
      </c>
      <c r="E75" s="239">
        <v>1487.8327705851852</v>
      </c>
      <c r="F75" s="239">
        <v>1636.616047643704</v>
      </c>
      <c r="G75" s="239">
        <v>1779.0016437887059</v>
      </c>
    </row>
    <row r="76" spans="1:7" x14ac:dyDescent="0.25">
      <c r="A76" s="129">
        <v>4350</v>
      </c>
      <c r="B76" s="239">
        <v>788.56264723648189</v>
      </c>
      <c r="C76" s="239">
        <v>1139.6245844903342</v>
      </c>
      <c r="D76" s="239">
        <v>1340.0778810829422</v>
      </c>
      <c r="E76" s="239">
        <v>1496.8669931696465</v>
      </c>
      <c r="F76" s="239">
        <v>1646.5536924866112</v>
      </c>
      <c r="G76" s="239">
        <v>1789.8038637329462</v>
      </c>
    </row>
    <row r="77" spans="1:7" x14ac:dyDescent="0.25">
      <c r="A77" s="129">
        <v>4400</v>
      </c>
      <c r="B77" s="239">
        <v>793.6705511577303</v>
      </c>
      <c r="C77" s="239">
        <v>1146.7613334615144</v>
      </c>
      <c r="D77" s="239">
        <v>1348.1658153573032</v>
      </c>
      <c r="E77" s="239">
        <v>1505.9012157541079</v>
      </c>
      <c r="F77" s="239">
        <v>1656.4913373295187</v>
      </c>
      <c r="G77" s="239">
        <v>1800.6060836771865</v>
      </c>
    </row>
    <row r="78" spans="1:7" x14ac:dyDescent="0.25">
      <c r="A78" s="129">
        <v>4450</v>
      </c>
      <c r="B78" s="239">
        <v>798.77845507897871</v>
      </c>
      <c r="C78" s="239">
        <v>1153.8980824326948</v>
      </c>
      <c r="D78" s="239">
        <v>1356.2537496316643</v>
      </c>
      <c r="E78" s="239">
        <v>1514.9354383385692</v>
      </c>
      <c r="F78" s="239">
        <v>1666.428982172426</v>
      </c>
      <c r="G78" s="239">
        <v>1811.408303621427</v>
      </c>
    </row>
    <row r="79" spans="1:7" x14ac:dyDescent="0.25">
      <c r="A79" s="129">
        <v>4500</v>
      </c>
      <c r="B79" s="239">
        <v>803.886359000227</v>
      </c>
      <c r="C79" s="239">
        <v>1161.0348314038749</v>
      </c>
      <c r="D79" s="239">
        <v>1364.3416839060253</v>
      </c>
      <c r="E79" s="239">
        <v>1523.9696609230302</v>
      </c>
      <c r="F79" s="239">
        <v>1676.3666270153335</v>
      </c>
      <c r="G79" s="239">
        <v>1822.2105235656672</v>
      </c>
    </row>
    <row r="80" spans="1:7" x14ac:dyDescent="0.25">
      <c r="A80" s="129">
        <v>4550</v>
      </c>
      <c r="B80" s="239">
        <v>808.9942629214753</v>
      </c>
      <c r="C80" s="239">
        <v>1168.1715803750553</v>
      </c>
      <c r="D80" s="239">
        <v>1372.4296181803863</v>
      </c>
      <c r="E80" s="239">
        <v>1533.0038835074915</v>
      </c>
      <c r="F80" s="239">
        <v>1686.3042718582408</v>
      </c>
      <c r="G80" s="239">
        <v>1833.0127435099075</v>
      </c>
    </row>
    <row r="81" spans="1:7" x14ac:dyDescent="0.25">
      <c r="A81" s="129">
        <v>4600</v>
      </c>
      <c r="B81" s="239">
        <v>814.10216684272359</v>
      </c>
      <c r="C81" s="239">
        <v>1175.3083293462355</v>
      </c>
      <c r="D81" s="239">
        <v>1380.5175524547474</v>
      </c>
      <c r="E81" s="239">
        <v>1542.0381060919528</v>
      </c>
      <c r="F81" s="239">
        <v>1696.2419167011481</v>
      </c>
      <c r="G81" s="239">
        <v>1843.8149634541478</v>
      </c>
    </row>
    <row r="82" spans="1:7" x14ac:dyDescent="0.25">
      <c r="A82" s="129">
        <v>4650</v>
      </c>
      <c r="B82" s="239">
        <v>819.210070763972</v>
      </c>
      <c r="C82" s="239">
        <v>1182.4450783174159</v>
      </c>
      <c r="D82" s="239">
        <v>1388.6054867291084</v>
      </c>
      <c r="E82" s="239">
        <v>1551.0723286764141</v>
      </c>
      <c r="F82" s="239">
        <v>1706.1795615440556</v>
      </c>
      <c r="G82" s="239">
        <v>1854.6171833983881</v>
      </c>
    </row>
    <row r="83" spans="1:7" x14ac:dyDescent="0.25">
      <c r="A83" s="129">
        <v>4700</v>
      </c>
      <c r="B83" s="239">
        <v>824.31797468522041</v>
      </c>
      <c r="C83" s="239">
        <v>1189.5818272885961</v>
      </c>
      <c r="D83" s="239">
        <v>1396.6934210034694</v>
      </c>
      <c r="E83" s="239">
        <v>1560.1065512608754</v>
      </c>
      <c r="F83" s="239">
        <v>1716.1172063869631</v>
      </c>
      <c r="G83" s="239">
        <v>1865.4194033426286</v>
      </c>
    </row>
    <row r="84" spans="1:7" x14ac:dyDescent="0.25">
      <c r="A84" s="129">
        <v>4750</v>
      </c>
      <c r="B84" s="239">
        <v>829.4258786064687</v>
      </c>
      <c r="C84" s="239">
        <v>1196.7185762597765</v>
      </c>
      <c r="D84" s="239">
        <v>1404.7813552778305</v>
      </c>
      <c r="E84" s="239">
        <v>1569.1407738453368</v>
      </c>
      <c r="F84" s="239">
        <v>1726.0548512298703</v>
      </c>
      <c r="G84" s="239">
        <v>1876.2216232868689</v>
      </c>
    </row>
    <row r="85" spans="1:7" x14ac:dyDescent="0.25">
      <c r="A85" s="129">
        <v>4800</v>
      </c>
      <c r="B85" s="239">
        <v>834.53378252771711</v>
      </c>
      <c r="C85" s="239">
        <v>1203.8553252309566</v>
      </c>
      <c r="D85" s="239">
        <v>1412.8692895521915</v>
      </c>
      <c r="E85" s="239">
        <v>1578.1749964297981</v>
      </c>
      <c r="F85" s="239">
        <v>1735.9924960727778</v>
      </c>
      <c r="G85" s="239">
        <v>1887.0238432311094</v>
      </c>
    </row>
    <row r="86" spans="1:7" x14ac:dyDescent="0.25">
      <c r="A86" s="129">
        <v>4850</v>
      </c>
      <c r="B86" s="239">
        <v>839.6416864489654</v>
      </c>
      <c r="C86" s="239">
        <v>1210.9920742021368</v>
      </c>
      <c r="D86" s="239">
        <v>1420.9572238265525</v>
      </c>
      <c r="E86" s="239">
        <v>1587.2092190142591</v>
      </c>
      <c r="F86" s="239">
        <v>1745.9301409156851</v>
      </c>
      <c r="G86" s="239">
        <v>1897.8260631753494</v>
      </c>
    </row>
    <row r="87" spans="1:7" x14ac:dyDescent="0.25">
      <c r="A87" s="129">
        <v>4900</v>
      </c>
      <c r="B87" s="239">
        <v>844.74959037021381</v>
      </c>
      <c r="C87" s="239">
        <v>1218.1288231733172</v>
      </c>
      <c r="D87" s="239">
        <v>1429.0451581009136</v>
      </c>
      <c r="E87" s="239">
        <v>1596.2434415987204</v>
      </c>
      <c r="F87" s="239">
        <v>1755.8677857585926</v>
      </c>
      <c r="G87" s="239">
        <v>1908.6282831195899</v>
      </c>
    </row>
    <row r="88" spans="1:7" x14ac:dyDescent="0.25">
      <c r="A88" s="129">
        <v>4950</v>
      </c>
      <c r="B88" s="239">
        <v>849.8574942914621</v>
      </c>
      <c r="C88" s="239">
        <v>1225.2655721444976</v>
      </c>
      <c r="D88" s="239">
        <v>1437.1330923752746</v>
      </c>
      <c r="E88" s="239">
        <v>1605.2776641831817</v>
      </c>
      <c r="F88" s="239">
        <v>1765.8054306015001</v>
      </c>
      <c r="G88" s="239">
        <v>1919.4305030638302</v>
      </c>
    </row>
    <row r="89" spans="1:7" x14ac:dyDescent="0.25">
      <c r="A89" s="129">
        <v>5000</v>
      </c>
      <c r="B89" s="239">
        <v>853.92407934276196</v>
      </c>
      <c r="C89" s="239">
        <v>1230.9965825481368</v>
      </c>
      <c r="D89" s="239">
        <v>1443.7153284419319</v>
      </c>
      <c r="E89" s="239">
        <v>1612.6300218696379</v>
      </c>
      <c r="F89" s="239">
        <v>1773.8930240566017</v>
      </c>
      <c r="G89" s="239">
        <v>1928.2217171495263</v>
      </c>
    </row>
    <row r="90" spans="1:7" x14ac:dyDescent="0.25">
      <c r="A90" s="129">
        <v>5050</v>
      </c>
      <c r="B90" s="239">
        <v>857.6234331952636</v>
      </c>
      <c r="C90" s="239">
        <v>1236.2318456122696</v>
      </c>
      <c r="D90" s="239">
        <v>1449.7665654325131</v>
      </c>
      <c r="E90" s="239">
        <v>1619.3892535881168</v>
      </c>
      <c r="F90" s="239">
        <v>1781.3281789469286</v>
      </c>
      <c r="G90" s="239">
        <v>1936.3037305153116</v>
      </c>
    </row>
    <row r="91" spans="1:7" x14ac:dyDescent="0.25">
      <c r="A91" s="129">
        <v>5100</v>
      </c>
      <c r="B91" s="239">
        <v>861.32278704776525</v>
      </c>
      <c r="C91" s="239">
        <v>1241.4671086764022</v>
      </c>
      <c r="D91" s="239">
        <v>1455.817802423094</v>
      </c>
      <c r="E91" s="239">
        <v>1626.1484853065958</v>
      </c>
      <c r="F91" s="239">
        <v>1788.7633338372555</v>
      </c>
      <c r="G91" s="239">
        <v>1944.3857438810967</v>
      </c>
    </row>
    <row r="92" spans="1:7" x14ac:dyDescent="0.25">
      <c r="A92" s="129">
        <v>5150</v>
      </c>
      <c r="B92" s="239">
        <v>865.022140900267</v>
      </c>
      <c r="C92" s="239">
        <v>1246.702371740535</v>
      </c>
      <c r="D92" s="239">
        <v>1461.869039413675</v>
      </c>
      <c r="E92" s="239">
        <v>1632.9077170250748</v>
      </c>
      <c r="F92" s="239">
        <v>1796.1984887275823</v>
      </c>
      <c r="G92" s="239">
        <v>1952.467757246882</v>
      </c>
    </row>
    <row r="93" spans="1:7" x14ac:dyDescent="0.25">
      <c r="A93" s="129">
        <v>5200</v>
      </c>
      <c r="B93" s="239">
        <v>868.72149475276865</v>
      </c>
      <c r="C93" s="239">
        <v>1251.9376348046678</v>
      </c>
      <c r="D93" s="239">
        <v>1467.9202764042559</v>
      </c>
      <c r="E93" s="239">
        <v>1639.6669487435538</v>
      </c>
      <c r="F93" s="239">
        <v>1803.6336436179092</v>
      </c>
      <c r="G93" s="239">
        <v>1960.5497706126673</v>
      </c>
    </row>
    <row r="94" spans="1:7" x14ac:dyDescent="0.25">
      <c r="A94" s="129">
        <v>5250</v>
      </c>
      <c r="B94" s="239">
        <v>872.42084860527029</v>
      </c>
      <c r="C94" s="239">
        <v>1257.1728978688004</v>
      </c>
      <c r="D94" s="239">
        <v>1473.9715133948368</v>
      </c>
      <c r="E94" s="239">
        <v>1646.4261804620326</v>
      </c>
      <c r="F94" s="239">
        <v>1811.0687985082359</v>
      </c>
      <c r="G94" s="239">
        <v>1968.6317839784526</v>
      </c>
    </row>
    <row r="95" spans="1:7" x14ac:dyDescent="0.25">
      <c r="A95" s="129">
        <v>5300</v>
      </c>
      <c r="B95" s="239">
        <v>876.12020245777194</v>
      </c>
      <c r="C95" s="239">
        <v>1262.4081609329332</v>
      </c>
      <c r="D95" s="239">
        <v>1480.0227503854178</v>
      </c>
      <c r="E95" s="239">
        <v>1653.1854121805115</v>
      </c>
      <c r="F95" s="239">
        <v>1818.5039533985628</v>
      </c>
      <c r="G95" s="239">
        <v>1976.7137973442379</v>
      </c>
    </row>
    <row r="96" spans="1:7" x14ac:dyDescent="0.25">
      <c r="A96" s="129">
        <v>5350</v>
      </c>
      <c r="B96" s="239">
        <v>879.81955631027358</v>
      </c>
      <c r="C96" s="239">
        <v>1267.6434239970658</v>
      </c>
      <c r="D96" s="239">
        <v>1486.0739873759987</v>
      </c>
      <c r="E96" s="239">
        <v>1659.9446438989905</v>
      </c>
      <c r="F96" s="239">
        <v>1825.9391082888897</v>
      </c>
      <c r="G96" s="239">
        <v>1984.795810710023</v>
      </c>
    </row>
    <row r="97" spans="1:7" x14ac:dyDescent="0.25">
      <c r="A97" s="129">
        <v>5400</v>
      </c>
      <c r="B97" s="239">
        <v>883.51891016277523</v>
      </c>
      <c r="C97" s="239">
        <v>1272.8786870611987</v>
      </c>
      <c r="D97" s="239">
        <v>1492.1252243665797</v>
      </c>
      <c r="E97" s="239">
        <v>1666.7038756174695</v>
      </c>
      <c r="F97" s="239">
        <v>1833.3742631792165</v>
      </c>
      <c r="G97" s="239">
        <v>1992.8778240758083</v>
      </c>
    </row>
    <row r="98" spans="1:7" x14ac:dyDescent="0.25">
      <c r="A98" s="129">
        <v>5450</v>
      </c>
      <c r="B98" s="239">
        <v>887.21826401527699</v>
      </c>
      <c r="C98" s="239">
        <v>1278.1139501253315</v>
      </c>
      <c r="D98" s="239">
        <v>1498.1764613571609</v>
      </c>
      <c r="E98" s="239">
        <v>1673.4631073359485</v>
      </c>
      <c r="F98" s="239">
        <v>1840.8094180695434</v>
      </c>
      <c r="G98" s="239">
        <v>2000.9598374415937</v>
      </c>
    </row>
    <row r="99" spans="1:7" x14ac:dyDescent="0.25">
      <c r="A99" s="129">
        <v>5500</v>
      </c>
      <c r="B99" s="239">
        <v>890.91761786777852</v>
      </c>
      <c r="C99" s="239">
        <v>1283.3492131894641</v>
      </c>
      <c r="D99" s="239">
        <v>1504.2276983477418</v>
      </c>
      <c r="E99" s="239">
        <v>1680.2223390544273</v>
      </c>
      <c r="F99" s="239">
        <v>1848.2445729598701</v>
      </c>
      <c r="G99" s="239">
        <v>2009.041850807379</v>
      </c>
    </row>
    <row r="100" spans="1:7" x14ac:dyDescent="0.25">
      <c r="A100" s="129">
        <v>5550</v>
      </c>
      <c r="B100" s="239">
        <v>894.61697172028016</v>
      </c>
      <c r="C100" s="239">
        <v>1288.5844762535967</v>
      </c>
      <c r="D100" s="239">
        <v>1510.2789353383225</v>
      </c>
      <c r="E100" s="239">
        <v>1686.9815707729063</v>
      </c>
      <c r="F100" s="239">
        <v>1855.679727850197</v>
      </c>
      <c r="G100" s="239">
        <v>2017.1238641731641</v>
      </c>
    </row>
    <row r="101" spans="1:7" x14ac:dyDescent="0.25">
      <c r="A101" s="129">
        <v>5600</v>
      </c>
      <c r="B101" s="239">
        <v>898.31632557278192</v>
      </c>
      <c r="C101" s="239">
        <v>1293.8197393177295</v>
      </c>
      <c r="D101" s="239">
        <v>1516.3301723289037</v>
      </c>
      <c r="E101" s="239">
        <v>1693.7408024913852</v>
      </c>
      <c r="F101" s="239">
        <v>1863.1148827405239</v>
      </c>
      <c r="G101" s="239">
        <v>2025.2058775389494</v>
      </c>
    </row>
    <row r="102" spans="1:7" x14ac:dyDescent="0.25">
      <c r="A102" s="129">
        <v>5650</v>
      </c>
      <c r="B102" s="239">
        <v>902.01567942528357</v>
      </c>
      <c r="C102" s="239">
        <v>1299.0550023818623</v>
      </c>
      <c r="D102" s="239">
        <v>1522.3814093194846</v>
      </c>
      <c r="E102" s="239">
        <v>1700.5000342098642</v>
      </c>
      <c r="F102" s="239">
        <v>1870.5500376308507</v>
      </c>
      <c r="G102" s="239">
        <v>2033.2878909047347</v>
      </c>
    </row>
    <row r="103" spans="1:7" x14ac:dyDescent="0.25">
      <c r="A103" s="129">
        <v>5700</v>
      </c>
      <c r="B103" s="239">
        <v>905.71503327778521</v>
      </c>
      <c r="C103" s="239">
        <v>1304.2902654459949</v>
      </c>
      <c r="D103" s="239">
        <v>1528.4326463100656</v>
      </c>
      <c r="E103" s="239">
        <v>1707.2592659283432</v>
      </c>
      <c r="F103" s="239">
        <v>1877.9851925211776</v>
      </c>
      <c r="G103" s="239">
        <v>2041.3699042705202</v>
      </c>
    </row>
    <row r="104" spans="1:7" x14ac:dyDescent="0.25">
      <c r="A104" s="129">
        <v>5750</v>
      </c>
      <c r="B104" s="239">
        <v>909.41438713028697</v>
      </c>
      <c r="C104" s="239">
        <v>1309.5255285101277</v>
      </c>
      <c r="D104" s="239">
        <v>1534.4838833006465</v>
      </c>
      <c r="E104" s="239">
        <v>1714.0184976468222</v>
      </c>
      <c r="F104" s="239">
        <v>1885.4203474115045</v>
      </c>
      <c r="G104" s="239">
        <v>2049.4519176363056</v>
      </c>
    </row>
    <row r="105" spans="1:7" x14ac:dyDescent="0.25">
      <c r="A105" s="129">
        <v>5800</v>
      </c>
      <c r="B105" s="239">
        <v>913.1137409827885</v>
      </c>
      <c r="C105" s="239">
        <v>1314.7607915742603</v>
      </c>
      <c r="D105" s="239">
        <v>1540.5351202912275</v>
      </c>
      <c r="E105" s="239">
        <v>1720.777729365301</v>
      </c>
      <c r="F105" s="239">
        <v>1892.8555023018312</v>
      </c>
      <c r="G105" s="239">
        <v>2057.5339310020904</v>
      </c>
    </row>
    <row r="106" spans="1:7" x14ac:dyDescent="0.25">
      <c r="A106" s="129">
        <v>5850</v>
      </c>
      <c r="B106" s="239">
        <v>916.81309483529014</v>
      </c>
      <c r="C106" s="239">
        <v>1319.9960546383932</v>
      </c>
      <c r="D106" s="239">
        <v>1546.5863572818084</v>
      </c>
      <c r="E106" s="239">
        <v>1727.5369610837799</v>
      </c>
      <c r="F106" s="239">
        <v>1900.2906571921581</v>
      </c>
      <c r="G106" s="239">
        <v>2065.6159443678757</v>
      </c>
    </row>
    <row r="107" spans="1:7" x14ac:dyDescent="0.25">
      <c r="A107" s="129">
        <v>5900</v>
      </c>
      <c r="B107" s="239">
        <v>920.5124486877919</v>
      </c>
      <c r="C107" s="239">
        <v>1325.2313177025258</v>
      </c>
      <c r="D107" s="239">
        <v>1552.6375942723894</v>
      </c>
      <c r="E107" s="239">
        <v>1734.2961928022589</v>
      </c>
      <c r="F107" s="239">
        <v>1907.7258120824849</v>
      </c>
      <c r="G107" s="239">
        <v>2073.697957733661</v>
      </c>
    </row>
    <row r="108" spans="1:7" x14ac:dyDescent="0.25">
      <c r="A108" s="129">
        <v>5950</v>
      </c>
      <c r="B108" s="239">
        <v>924.21180254029355</v>
      </c>
      <c r="C108" s="239">
        <v>1330.4665807666586</v>
      </c>
      <c r="D108" s="239">
        <v>1558.6888312629706</v>
      </c>
      <c r="E108" s="239">
        <v>1741.0554245207379</v>
      </c>
      <c r="F108" s="239">
        <v>1915.1609669728118</v>
      </c>
      <c r="G108" s="239">
        <v>2081.7799710994464</v>
      </c>
    </row>
    <row r="109" spans="1:7" x14ac:dyDescent="0.25">
      <c r="A109" s="129">
        <v>6000</v>
      </c>
      <c r="B109" s="239">
        <v>927.91115639279519</v>
      </c>
      <c r="C109" s="239">
        <v>1335.7018438307914</v>
      </c>
      <c r="D109" s="239">
        <v>1564.7400682535515</v>
      </c>
      <c r="E109" s="239">
        <v>1747.8146562392169</v>
      </c>
      <c r="F109" s="239">
        <v>1922.5961218631387</v>
      </c>
      <c r="G109" s="239">
        <v>2089.8619844652317</v>
      </c>
    </row>
    <row r="110" spans="1:7" x14ac:dyDescent="0.25">
      <c r="A110" s="129">
        <v>6050</v>
      </c>
      <c r="B110" s="239">
        <v>931.61051024529684</v>
      </c>
      <c r="C110" s="239">
        <v>1340.937106894924</v>
      </c>
      <c r="D110" s="239">
        <v>1570.7913052441322</v>
      </c>
      <c r="E110" s="239">
        <v>1754.5738879576957</v>
      </c>
      <c r="F110" s="239">
        <v>1930.0312767534654</v>
      </c>
      <c r="G110" s="239">
        <v>2097.943997831017</v>
      </c>
    </row>
    <row r="111" spans="1:7" x14ac:dyDescent="0.25">
      <c r="A111" s="129">
        <v>6100</v>
      </c>
      <c r="B111" s="239">
        <v>934.81118882656472</v>
      </c>
      <c r="C111" s="239">
        <v>1345.3064250721307</v>
      </c>
      <c r="D111" s="239">
        <v>1575.6322115900912</v>
      </c>
      <c r="E111" s="239">
        <v>1759.9811803461319</v>
      </c>
      <c r="F111" s="239">
        <v>1935.9792983807449</v>
      </c>
      <c r="G111" s="239">
        <v>2104.4094973398696</v>
      </c>
    </row>
    <row r="112" spans="1:7" x14ac:dyDescent="0.25">
      <c r="A112" s="129">
        <v>6150</v>
      </c>
      <c r="B112" s="239">
        <v>937.6897465311647</v>
      </c>
      <c r="C112" s="239">
        <v>1349.1163833969176</v>
      </c>
      <c r="D112" s="239">
        <v>1579.6913010086955</v>
      </c>
      <c r="E112" s="239">
        <v>1764.5151832267129</v>
      </c>
      <c r="F112" s="239">
        <v>1940.9667015493842</v>
      </c>
      <c r="G112" s="239">
        <v>2109.8308045841804</v>
      </c>
    </row>
    <row r="113" spans="1:7" x14ac:dyDescent="0.25">
      <c r="A113" s="129">
        <v>6200</v>
      </c>
      <c r="B113" s="239">
        <v>940.56830423576457</v>
      </c>
      <c r="C113" s="239">
        <v>1352.9263417217044</v>
      </c>
      <c r="D113" s="239">
        <v>1583.7503904272999</v>
      </c>
      <c r="E113" s="239">
        <v>1769.049186107294</v>
      </c>
      <c r="F113" s="239">
        <v>1945.9541047180232</v>
      </c>
      <c r="G113" s="239">
        <v>2115.2521118284913</v>
      </c>
    </row>
    <row r="114" spans="1:7" x14ac:dyDescent="0.25">
      <c r="A114" s="129">
        <v>6250</v>
      </c>
      <c r="B114" s="239">
        <v>943.44686194036444</v>
      </c>
      <c r="C114" s="239">
        <v>1356.7363000464914</v>
      </c>
      <c r="D114" s="239">
        <v>1587.809479845904</v>
      </c>
      <c r="E114" s="239">
        <v>1773.5831889878748</v>
      </c>
      <c r="F114" s="239">
        <v>1950.9415078866623</v>
      </c>
      <c r="G114" s="239">
        <v>2120.6734190728021</v>
      </c>
    </row>
    <row r="115" spans="1:7" x14ac:dyDescent="0.25">
      <c r="A115" s="129">
        <v>6300</v>
      </c>
      <c r="B115" s="239">
        <v>946.32541964496431</v>
      </c>
      <c r="C115" s="239">
        <v>1360.5462583712781</v>
      </c>
      <c r="D115" s="239">
        <v>1591.8685692645083</v>
      </c>
      <c r="E115" s="239">
        <v>1778.1171918684558</v>
      </c>
      <c r="F115" s="239">
        <v>1955.9289110553013</v>
      </c>
      <c r="G115" s="239">
        <v>2126.0947263171124</v>
      </c>
    </row>
    <row r="116" spans="1:7" x14ac:dyDescent="0.25">
      <c r="A116" s="129">
        <v>6350</v>
      </c>
      <c r="B116" s="239">
        <v>949.20397734956418</v>
      </c>
      <c r="C116" s="239">
        <v>1364.3562166960648</v>
      </c>
      <c r="D116" s="239">
        <v>1595.9276586831124</v>
      </c>
      <c r="E116" s="239">
        <v>1782.6511947490367</v>
      </c>
      <c r="F116" s="239">
        <v>1960.9163142239404</v>
      </c>
      <c r="G116" s="239">
        <v>2131.5160335614232</v>
      </c>
    </row>
    <row r="117" spans="1:7" x14ac:dyDescent="0.25">
      <c r="A117" s="129">
        <v>6400</v>
      </c>
      <c r="B117" s="239">
        <v>952.08253505416405</v>
      </c>
      <c r="C117" s="239">
        <v>1368.1661750208516</v>
      </c>
      <c r="D117" s="239">
        <v>1599.9867481017168</v>
      </c>
      <c r="E117" s="239">
        <v>1787.1851976296177</v>
      </c>
      <c r="F117" s="239">
        <v>1965.9037173925794</v>
      </c>
      <c r="G117" s="239">
        <v>2136.9373408057336</v>
      </c>
    </row>
    <row r="118" spans="1:7" x14ac:dyDescent="0.25">
      <c r="A118" s="129">
        <v>6450</v>
      </c>
      <c r="B118" s="239">
        <v>954.96109275876404</v>
      </c>
      <c r="C118" s="239">
        <v>1371.9761333456386</v>
      </c>
      <c r="D118" s="239">
        <v>1604.0458375203211</v>
      </c>
      <c r="E118" s="239">
        <v>1791.7192005101988</v>
      </c>
      <c r="F118" s="239">
        <v>1970.8911205612185</v>
      </c>
      <c r="G118" s="239">
        <v>2142.3586480500444</v>
      </c>
    </row>
    <row r="119" spans="1:7" x14ac:dyDescent="0.25">
      <c r="A119" s="129">
        <v>6500</v>
      </c>
      <c r="B119" s="239">
        <v>957.83965046336391</v>
      </c>
      <c r="C119" s="239">
        <v>1375.7860916704253</v>
      </c>
      <c r="D119" s="239">
        <v>1608.1049269389255</v>
      </c>
      <c r="E119" s="239">
        <v>1796.2532033907796</v>
      </c>
      <c r="F119" s="239">
        <v>1975.8785237298575</v>
      </c>
      <c r="G119" s="239">
        <v>2147.7799552943552</v>
      </c>
    </row>
    <row r="120" spans="1:7" x14ac:dyDescent="0.25">
      <c r="A120" s="129">
        <v>6550</v>
      </c>
      <c r="B120" s="239">
        <v>960.71820816796378</v>
      </c>
      <c r="C120" s="239">
        <v>1379.5960499952121</v>
      </c>
      <c r="D120" s="239">
        <v>1612.1640163575296</v>
      </c>
      <c r="E120" s="239">
        <v>1800.7872062713607</v>
      </c>
      <c r="F120" s="239">
        <v>1980.8659268984966</v>
      </c>
      <c r="G120" s="239">
        <v>2153.2012625386656</v>
      </c>
    </row>
    <row r="121" spans="1:7" x14ac:dyDescent="0.25">
      <c r="A121" s="129">
        <v>6600</v>
      </c>
      <c r="B121" s="239">
        <v>963.59676587256365</v>
      </c>
      <c r="C121" s="239">
        <v>1383.406008319999</v>
      </c>
      <c r="D121" s="239">
        <v>1616.2231057761339</v>
      </c>
      <c r="E121" s="239">
        <v>1805.3212091519415</v>
      </c>
      <c r="F121" s="239">
        <v>1985.8533300671356</v>
      </c>
      <c r="G121" s="239">
        <v>2158.6225697829764</v>
      </c>
    </row>
    <row r="122" spans="1:7" x14ac:dyDescent="0.25">
      <c r="A122" s="129">
        <v>6650</v>
      </c>
      <c r="B122" s="239">
        <v>966.47532357716352</v>
      </c>
      <c r="C122" s="239">
        <v>1387.2159666447858</v>
      </c>
      <c r="D122" s="239">
        <v>1620.2821951947383</v>
      </c>
      <c r="E122" s="239">
        <v>1809.8552120325226</v>
      </c>
      <c r="F122" s="239">
        <v>1990.8407332357747</v>
      </c>
      <c r="G122" s="239">
        <v>2164.0438770272872</v>
      </c>
    </row>
    <row r="123" spans="1:7" x14ac:dyDescent="0.25">
      <c r="A123" s="129">
        <v>6700</v>
      </c>
      <c r="B123" s="239">
        <v>969.35388128176351</v>
      </c>
      <c r="C123" s="239">
        <v>1391.0259249695728</v>
      </c>
      <c r="D123" s="239">
        <v>1624.3412846133424</v>
      </c>
      <c r="E123" s="239">
        <v>1814.3892149131036</v>
      </c>
      <c r="F123" s="239">
        <v>1995.8281364044137</v>
      </c>
      <c r="G123" s="239">
        <v>2169.465184271598</v>
      </c>
    </row>
    <row r="124" spans="1:7" x14ac:dyDescent="0.25">
      <c r="A124" s="129">
        <v>6750</v>
      </c>
      <c r="B124" s="239">
        <v>972.23243898636338</v>
      </c>
      <c r="C124" s="239">
        <v>1394.8358832943595</v>
      </c>
      <c r="D124" s="239">
        <v>1628.4003740319467</v>
      </c>
      <c r="E124" s="239">
        <v>1818.9232177936847</v>
      </c>
      <c r="F124" s="239">
        <v>2000.815539573053</v>
      </c>
      <c r="G124" s="239">
        <v>2174.8864915159083</v>
      </c>
    </row>
    <row r="125" spans="1:7" x14ac:dyDescent="0.25">
      <c r="A125" s="129">
        <v>6800</v>
      </c>
      <c r="B125" s="239">
        <v>975.11099669096325</v>
      </c>
      <c r="C125" s="239">
        <v>1398.6458416191463</v>
      </c>
      <c r="D125" s="239">
        <v>1632.4594634505509</v>
      </c>
      <c r="E125" s="239">
        <v>1823.4572206742655</v>
      </c>
      <c r="F125" s="239">
        <v>2005.8029427416918</v>
      </c>
      <c r="G125" s="239">
        <v>2180.3077987602192</v>
      </c>
    </row>
    <row r="126" spans="1:7" x14ac:dyDescent="0.25">
      <c r="A126" s="129">
        <v>6850</v>
      </c>
      <c r="B126" s="239">
        <v>977.98955439556312</v>
      </c>
      <c r="C126" s="239">
        <v>1402.4557999439332</v>
      </c>
      <c r="D126" s="239">
        <v>1636.5185528691552</v>
      </c>
      <c r="E126" s="239">
        <v>1827.9912235548463</v>
      </c>
      <c r="F126" s="239">
        <v>2010.7903459103309</v>
      </c>
      <c r="G126" s="239">
        <v>2185.7291060045295</v>
      </c>
    </row>
    <row r="127" spans="1:7" x14ac:dyDescent="0.25">
      <c r="A127" s="129">
        <v>6900</v>
      </c>
      <c r="B127" s="239">
        <v>980.86811210016299</v>
      </c>
      <c r="C127" s="239">
        <v>1406.26575826872</v>
      </c>
      <c r="D127" s="239">
        <v>1640.5776422877595</v>
      </c>
      <c r="E127" s="239">
        <v>1832.5252264354274</v>
      </c>
      <c r="F127" s="239">
        <v>2015.7777490789701</v>
      </c>
      <c r="G127" s="239">
        <v>2191.1504132488403</v>
      </c>
    </row>
    <row r="128" spans="1:7" x14ac:dyDescent="0.25">
      <c r="A128" s="129">
        <v>6950</v>
      </c>
      <c r="B128" s="239">
        <v>983.74666980476297</v>
      </c>
      <c r="C128" s="239">
        <v>1410.0757165935067</v>
      </c>
      <c r="D128" s="239">
        <v>1644.6367317063639</v>
      </c>
      <c r="E128" s="239">
        <v>1837.0592293160084</v>
      </c>
      <c r="F128" s="239">
        <v>2020.7651522476092</v>
      </c>
      <c r="G128" s="239">
        <v>2196.5717204931511</v>
      </c>
    </row>
    <row r="129" spans="1:7" x14ac:dyDescent="0.25">
      <c r="A129" s="129">
        <v>7000</v>
      </c>
      <c r="B129" s="239">
        <v>986.62522750936284</v>
      </c>
      <c r="C129" s="239">
        <v>1413.8856749182937</v>
      </c>
      <c r="D129" s="239">
        <v>1648.695821124968</v>
      </c>
      <c r="E129" s="239">
        <v>1841.5932321965895</v>
      </c>
      <c r="F129" s="239">
        <v>2025.7525554162482</v>
      </c>
      <c r="G129" s="239">
        <v>2201.9930277374619</v>
      </c>
    </row>
    <row r="130" spans="1:7" x14ac:dyDescent="0.25">
      <c r="A130" s="129">
        <v>7050</v>
      </c>
      <c r="B130" s="239">
        <v>989.50378521396271</v>
      </c>
      <c r="C130" s="239">
        <v>1417.6956332430805</v>
      </c>
      <c r="D130" s="239">
        <v>1652.7549105435724</v>
      </c>
      <c r="E130" s="239">
        <v>1846.1272350771703</v>
      </c>
      <c r="F130" s="239">
        <v>2030.7399585848873</v>
      </c>
      <c r="G130" s="239">
        <v>2207.4143349817723</v>
      </c>
    </row>
    <row r="131" spans="1:7" x14ac:dyDescent="0.25">
      <c r="A131" s="129">
        <v>7100</v>
      </c>
      <c r="B131" s="239">
        <v>992.38234291856259</v>
      </c>
      <c r="C131" s="239">
        <v>1421.5055915678672</v>
      </c>
      <c r="D131" s="239">
        <v>1656.8139999621765</v>
      </c>
      <c r="E131" s="239">
        <v>1850.6612379577512</v>
      </c>
      <c r="F131" s="239">
        <v>2035.7273617535263</v>
      </c>
      <c r="G131" s="239">
        <v>2212.8356422260831</v>
      </c>
    </row>
    <row r="132" spans="1:7" x14ac:dyDescent="0.25">
      <c r="A132" s="129">
        <v>7150</v>
      </c>
      <c r="B132" s="239">
        <v>995.26090062316246</v>
      </c>
      <c r="C132" s="239">
        <v>1425.3155498926542</v>
      </c>
      <c r="D132" s="239">
        <v>1660.8730893807808</v>
      </c>
      <c r="E132" s="239">
        <v>1855.1952408383322</v>
      </c>
      <c r="F132" s="239">
        <v>2040.7147649221654</v>
      </c>
      <c r="G132" s="239">
        <v>2218.2569494703939</v>
      </c>
    </row>
    <row r="133" spans="1:7" x14ac:dyDescent="0.25">
      <c r="A133" s="129">
        <v>7200</v>
      </c>
      <c r="B133" s="239">
        <v>997.47363188340137</v>
      </c>
      <c r="C133" s="239">
        <v>1428.1923588920952</v>
      </c>
      <c r="D133" s="239">
        <v>1663.8809129184792</v>
      </c>
      <c r="E133" s="239">
        <v>1858.5549797299416</v>
      </c>
      <c r="F133" s="239">
        <v>2044.4104777029356</v>
      </c>
      <c r="G133" s="239">
        <v>2222.2741892630911</v>
      </c>
    </row>
    <row r="134" spans="1:7" x14ac:dyDescent="0.25">
      <c r="A134" s="129">
        <v>7250</v>
      </c>
      <c r="B134" s="239">
        <v>998.91462578995868</v>
      </c>
      <c r="C134" s="239">
        <v>1429.9933829031791</v>
      </c>
      <c r="D134" s="239">
        <v>1665.6828055944454</v>
      </c>
      <c r="E134" s="239">
        <v>1860.5676938489955</v>
      </c>
      <c r="F134" s="239">
        <v>2046.6244632338951</v>
      </c>
      <c r="G134" s="239">
        <v>2224.6807915352438</v>
      </c>
    </row>
    <row r="135" spans="1:7" x14ac:dyDescent="0.25">
      <c r="A135" s="129">
        <v>7300</v>
      </c>
      <c r="B135" s="239">
        <v>1000.3094925423479</v>
      </c>
      <c r="C135" s="239">
        <v>1431.7367549617863</v>
      </c>
      <c r="D135" s="239">
        <v>1667.427018511406</v>
      </c>
      <c r="E135" s="239">
        <v>1862.5159796772405</v>
      </c>
      <c r="F135" s="239">
        <v>2048.7675776449646</v>
      </c>
      <c r="G135" s="239">
        <v>2227.0103569000767</v>
      </c>
    </row>
    <row r="136" spans="1:7" x14ac:dyDescent="0.25">
      <c r="A136" s="129">
        <v>7350</v>
      </c>
      <c r="B136" s="239">
        <v>1001.7043592947372</v>
      </c>
      <c r="C136" s="239">
        <v>1433.4801270203939</v>
      </c>
      <c r="D136" s="239">
        <v>1669.1712314283666</v>
      </c>
      <c r="E136" s="239">
        <v>1864.4642655054854</v>
      </c>
      <c r="F136" s="239">
        <v>2050.9106920560339</v>
      </c>
      <c r="G136" s="239">
        <v>2229.3399222649091</v>
      </c>
    </row>
    <row r="137" spans="1:7" x14ac:dyDescent="0.25">
      <c r="A137" s="129">
        <v>7400</v>
      </c>
      <c r="B137" s="239">
        <v>1003.0992260471264</v>
      </c>
      <c r="C137" s="239">
        <v>1435.2234990790012</v>
      </c>
      <c r="D137" s="239">
        <v>1670.9154443453269</v>
      </c>
      <c r="E137" s="239">
        <v>1866.4125513337303</v>
      </c>
      <c r="F137" s="239">
        <v>2053.0538064671036</v>
      </c>
      <c r="G137" s="239">
        <v>2231.6694876297415</v>
      </c>
    </row>
    <row r="138" spans="1:7" x14ac:dyDescent="0.25">
      <c r="A138" s="129">
        <v>7450</v>
      </c>
      <c r="B138" s="239">
        <v>1004.4940927995158</v>
      </c>
      <c r="C138" s="239">
        <v>1436.9668711376087</v>
      </c>
      <c r="D138" s="239">
        <v>1672.6596572622877</v>
      </c>
      <c r="E138" s="239">
        <v>1868.3608371619755</v>
      </c>
      <c r="F138" s="239">
        <v>2055.1969208781729</v>
      </c>
      <c r="G138" s="239">
        <v>2233.999052994574</v>
      </c>
    </row>
    <row r="139" spans="1:7" x14ac:dyDescent="0.25">
      <c r="A139" s="129">
        <v>7500</v>
      </c>
      <c r="B139" s="239">
        <v>1005.888959551905</v>
      </c>
      <c r="C139" s="239">
        <v>1438.710243196216</v>
      </c>
      <c r="D139" s="239">
        <v>1674.4038701792483</v>
      </c>
      <c r="E139" s="239">
        <v>1870.3091229902204</v>
      </c>
      <c r="F139" s="239">
        <v>2057.3400352892422</v>
      </c>
      <c r="G139" s="239">
        <v>2236.3286183594064</v>
      </c>
    </row>
    <row r="140" spans="1:7" x14ac:dyDescent="0.25">
      <c r="A140" s="129">
        <v>7550</v>
      </c>
      <c r="B140" s="239">
        <v>1007.2838263042943</v>
      </c>
      <c r="C140" s="239">
        <v>1440.4536152548235</v>
      </c>
      <c r="D140" s="239">
        <v>1676.1480830962089</v>
      </c>
      <c r="E140" s="239">
        <v>1872.2574088184654</v>
      </c>
      <c r="F140" s="239">
        <v>2059.483149700312</v>
      </c>
      <c r="G140" s="239">
        <v>2238.6581837242388</v>
      </c>
    </row>
    <row r="141" spans="1:7" x14ac:dyDescent="0.25">
      <c r="A141" s="129">
        <v>7600</v>
      </c>
      <c r="B141" s="239">
        <v>1008.6786930566836</v>
      </c>
      <c r="C141" s="239">
        <v>1442.196987313431</v>
      </c>
      <c r="D141" s="239">
        <v>1677.8922960131695</v>
      </c>
      <c r="E141" s="239">
        <v>1874.2056946467103</v>
      </c>
      <c r="F141" s="239">
        <v>2061.6262641113813</v>
      </c>
      <c r="G141" s="239">
        <v>2240.9877490890717</v>
      </c>
    </row>
    <row r="142" spans="1:7" x14ac:dyDescent="0.25">
      <c r="A142" s="129">
        <v>7650</v>
      </c>
      <c r="B142" s="239">
        <v>1010.0735598090729</v>
      </c>
      <c r="C142" s="239">
        <v>1443.9403593720383</v>
      </c>
      <c r="D142" s="239">
        <v>1679.63650893013</v>
      </c>
      <c r="E142" s="239">
        <v>1876.1539804749552</v>
      </c>
      <c r="F142" s="239">
        <v>2063.769378522451</v>
      </c>
      <c r="G142" s="239">
        <v>2243.3173144539041</v>
      </c>
    </row>
    <row r="143" spans="1:7" x14ac:dyDescent="0.25">
      <c r="A143" s="129">
        <v>7700</v>
      </c>
      <c r="B143" s="239">
        <v>1011.4684265614621</v>
      </c>
      <c r="C143" s="239">
        <v>1445.6837314306458</v>
      </c>
      <c r="D143" s="239">
        <v>1681.3807218470906</v>
      </c>
      <c r="E143" s="239">
        <v>1878.1022663032002</v>
      </c>
      <c r="F143" s="239">
        <v>2065.9124929335203</v>
      </c>
      <c r="G143" s="239">
        <v>2245.6468798187366</v>
      </c>
    </row>
    <row r="144" spans="1:7" x14ac:dyDescent="0.25">
      <c r="A144" s="129">
        <v>7750</v>
      </c>
      <c r="B144" s="239">
        <v>1012.8632933138514</v>
      </c>
      <c r="C144" s="239">
        <v>1447.4271034892531</v>
      </c>
      <c r="D144" s="239">
        <v>1683.1249347640512</v>
      </c>
      <c r="E144" s="239">
        <v>1880.0505521314451</v>
      </c>
      <c r="F144" s="239">
        <v>2068.0556073445896</v>
      </c>
      <c r="G144" s="239">
        <v>2247.976445183569</v>
      </c>
    </row>
    <row r="145" spans="1:7" x14ac:dyDescent="0.25">
      <c r="A145" s="129">
        <v>7800</v>
      </c>
      <c r="B145" s="239">
        <v>1014.2581600662406</v>
      </c>
      <c r="C145" s="239">
        <v>1449.1704755478606</v>
      </c>
      <c r="D145" s="239">
        <v>1684.8691476810118</v>
      </c>
      <c r="E145" s="239">
        <v>1881.9988379596903</v>
      </c>
      <c r="F145" s="239">
        <v>2070.1987217556593</v>
      </c>
      <c r="G145" s="239">
        <v>2250.3060105484014</v>
      </c>
    </row>
    <row r="146" spans="1:7" x14ac:dyDescent="0.25">
      <c r="A146" s="129">
        <v>7850</v>
      </c>
      <c r="B146" s="239">
        <v>1015.65302681863</v>
      </c>
      <c r="C146" s="239">
        <v>1450.9138476064679</v>
      </c>
      <c r="D146" s="239">
        <v>1686.6133605979724</v>
      </c>
      <c r="E146" s="239">
        <v>1883.9471237879352</v>
      </c>
      <c r="F146" s="239">
        <v>2072.3418361667286</v>
      </c>
      <c r="G146" s="239">
        <v>2252.6355759132339</v>
      </c>
    </row>
    <row r="147" spans="1:7" x14ac:dyDescent="0.25">
      <c r="A147" s="129">
        <v>7900</v>
      </c>
      <c r="B147" s="239">
        <v>1017.0478935710192</v>
      </c>
      <c r="C147" s="239">
        <v>1452.6572196650754</v>
      </c>
      <c r="D147" s="239">
        <v>1688.3575735149329</v>
      </c>
      <c r="E147" s="239">
        <v>1885.8954096161801</v>
      </c>
      <c r="F147" s="239">
        <v>2074.4849505777984</v>
      </c>
      <c r="G147" s="239">
        <v>2254.9651412780668</v>
      </c>
    </row>
    <row r="148" spans="1:7" x14ac:dyDescent="0.25">
      <c r="A148" s="129">
        <v>7950</v>
      </c>
      <c r="B148" s="239">
        <v>1018.4427603234085</v>
      </c>
      <c r="C148" s="239">
        <v>1454.4005917236827</v>
      </c>
      <c r="D148" s="239">
        <v>1690.1017864318935</v>
      </c>
      <c r="E148" s="239">
        <v>1887.8436954444251</v>
      </c>
      <c r="F148" s="239">
        <v>2076.6280649888677</v>
      </c>
      <c r="G148" s="239">
        <v>2257.2947066428992</v>
      </c>
    </row>
    <row r="149" spans="1:7" x14ac:dyDescent="0.25">
      <c r="A149" s="129">
        <v>8000</v>
      </c>
      <c r="B149" s="239">
        <v>1019.8376270757977</v>
      </c>
      <c r="C149" s="239">
        <v>1456.1439637822903</v>
      </c>
      <c r="D149" s="239">
        <v>1691.8459993488541</v>
      </c>
      <c r="E149" s="239">
        <v>1889.79198127267</v>
      </c>
      <c r="F149" s="239">
        <v>2078.771179399937</v>
      </c>
      <c r="G149" s="239">
        <v>2259.6242720077316</v>
      </c>
    </row>
    <row r="150" spans="1:7" x14ac:dyDescent="0.25">
      <c r="A150" s="129">
        <v>8050</v>
      </c>
      <c r="B150" s="239">
        <v>1021.2324938281871</v>
      </c>
      <c r="C150" s="239">
        <v>1457.8873358408975</v>
      </c>
      <c r="D150" s="239">
        <v>1693.5902122658147</v>
      </c>
      <c r="E150" s="239">
        <v>1891.7402671009149</v>
      </c>
      <c r="F150" s="239">
        <v>2080.9142938110067</v>
      </c>
      <c r="G150" s="239">
        <v>2261.9538373725641</v>
      </c>
    </row>
    <row r="151" spans="1:7" x14ac:dyDescent="0.25">
      <c r="A151" s="129">
        <v>8100</v>
      </c>
      <c r="B151" s="239">
        <v>1022.6273605805764</v>
      </c>
      <c r="C151" s="239">
        <v>1459.6307078995051</v>
      </c>
      <c r="D151" s="239">
        <v>1695.3344251827752</v>
      </c>
      <c r="E151" s="239">
        <v>1893.6885529291601</v>
      </c>
      <c r="F151" s="239">
        <v>2083.057408222076</v>
      </c>
      <c r="G151" s="239">
        <v>2264.2834027373965</v>
      </c>
    </row>
    <row r="152" spans="1:7" x14ac:dyDescent="0.25">
      <c r="A152" s="129">
        <v>8150</v>
      </c>
      <c r="B152" s="239">
        <v>1024.0222273329657</v>
      </c>
      <c r="C152" s="239">
        <v>1461.3740799581124</v>
      </c>
      <c r="D152" s="239">
        <v>1697.0786380997358</v>
      </c>
      <c r="E152" s="239">
        <v>1895.636838757405</v>
      </c>
      <c r="F152" s="239">
        <v>2085.2005226331453</v>
      </c>
      <c r="G152" s="239">
        <v>2266.6129681022289</v>
      </c>
    </row>
    <row r="153" spans="1:7" x14ac:dyDescent="0.25">
      <c r="A153" s="129">
        <v>8200</v>
      </c>
      <c r="B153" s="239">
        <v>1025.4170940853548</v>
      </c>
      <c r="C153" s="239">
        <v>1463.1174520167199</v>
      </c>
      <c r="D153" s="239">
        <v>1698.8228510166964</v>
      </c>
      <c r="E153" s="239">
        <v>1897.58512458565</v>
      </c>
      <c r="F153" s="239">
        <v>2087.343637044215</v>
      </c>
      <c r="G153" s="239">
        <v>2268.9425334670618</v>
      </c>
    </row>
    <row r="154" spans="1:7" x14ac:dyDescent="0.25">
      <c r="A154" s="129">
        <v>8250</v>
      </c>
      <c r="B154" s="239">
        <v>1026.8119608377442</v>
      </c>
      <c r="C154" s="239">
        <v>1464.8608240753274</v>
      </c>
      <c r="D154" s="239">
        <v>1700.567063933657</v>
      </c>
      <c r="E154" s="239">
        <v>1899.5334104138949</v>
      </c>
      <c r="F154" s="239">
        <v>2089.4867514552843</v>
      </c>
      <c r="G154" s="239">
        <v>2271.2720988318943</v>
      </c>
    </row>
    <row r="155" spans="1:7" x14ac:dyDescent="0.25">
      <c r="A155" s="129">
        <v>8300</v>
      </c>
      <c r="B155" s="239">
        <v>1028.2068275901333</v>
      </c>
      <c r="C155" s="239">
        <v>1466.6041961339347</v>
      </c>
      <c r="D155" s="239">
        <v>1702.3112768506176</v>
      </c>
      <c r="E155" s="239">
        <v>1901.4816962421398</v>
      </c>
      <c r="F155" s="239">
        <v>2091.6298658663541</v>
      </c>
      <c r="G155" s="239">
        <v>2273.6016641967267</v>
      </c>
    </row>
    <row r="156" spans="1:7" x14ac:dyDescent="0.25">
      <c r="A156" s="129">
        <v>8350</v>
      </c>
      <c r="B156" s="239">
        <v>1030.1715724605451</v>
      </c>
      <c r="C156" s="239">
        <v>1469.1660785872075</v>
      </c>
      <c r="D156" s="239">
        <v>1705.0142034732417</v>
      </c>
      <c r="E156" s="239">
        <v>1904.5008652796109</v>
      </c>
      <c r="F156" s="239">
        <v>2094.950951807572</v>
      </c>
      <c r="G156" s="239">
        <v>2277.211684614831</v>
      </c>
    </row>
    <row r="157" spans="1:7" x14ac:dyDescent="0.25">
      <c r="A157" s="129">
        <v>8400</v>
      </c>
      <c r="B157" s="239">
        <v>1035.3698384888382</v>
      </c>
      <c r="C157" s="239">
        <v>1476.4949609555808</v>
      </c>
      <c r="D157" s="239">
        <v>1713.4411991986894</v>
      </c>
      <c r="E157" s="239">
        <v>1913.9138195049361</v>
      </c>
      <c r="F157" s="239">
        <v>2105.3052014554296</v>
      </c>
      <c r="G157" s="239">
        <v>2288.4667539820521</v>
      </c>
    </row>
    <row r="158" spans="1:7" x14ac:dyDescent="0.25">
      <c r="A158" s="129">
        <v>8450</v>
      </c>
      <c r="B158" s="239">
        <v>1040.5681045171316</v>
      </c>
      <c r="C158" s="239">
        <v>1483.8238433239544</v>
      </c>
      <c r="D158" s="239">
        <v>1721.8681949241372</v>
      </c>
      <c r="E158" s="239">
        <v>1923.3267737302613</v>
      </c>
      <c r="F158" s="239">
        <v>2115.6594511032872</v>
      </c>
      <c r="G158" s="239">
        <v>2299.7218233492731</v>
      </c>
    </row>
    <row r="159" spans="1:7" x14ac:dyDescent="0.25">
      <c r="A159" s="129">
        <v>8500</v>
      </c>
      <c r="B159" s="239">
        <v>1045.7663705454247</v>
      </c>
      <c r="C159" s="239">
        <v>1491.152725692328</v>
      </c>
      <c r="D159" s="239">
        <v>1730.2951906495848</v>
      </c>
      <c r="E159" s="239">
        <v>1932.7397279555862</v>
      </c>
      <c r="F159" s="239">
        <v>2126.0137007511448</v>
      </c>
      <c r="G159" s="239">
        <v>2310.9768927164946</v>
      </c>
    </row>
    <row r="160" spans="1:7" x14ac:dyDescent="0.25">
      <c r="A160" s="129">
        <v>8550</v>
      </c>
      <c r="B160" s="239">
        <v>1050.9646365737178</v>
      </c>
      <c r="C160" s="239">
        <v>1498.4816080607013</v>
      </c>
      <c r="D160" s="239">
        <v>1738.7221863750326</v>
      </c>
      <c r="E160" s="239">
        <v>1942.1526821809114</v>
      </c>
      <c r="F160" s="239">
        <v>2136.3679503990024</v>
      </c>
      <c r="G160" s="239">
        <v>2322.2319620837156</v>
      </c>
    </row>
    <row r="161" spans="1:7" x14ac:dyDescent="0.25">
      <c r="A161" s="129">
        <v>8600</v>
      </c>
      <c r="B161" s="239">
        <v>1056.1629026020112</v>
      </c>
      <c r="C161" s="239">
        <v>1505.8104904290749</v>
      </c>
      <c r="D161" s="239">
        <v>1747.1491821004802</v>
      </c>
      <c r="E161" s="239">
        <v>1951.5656364062365</v>
      </c>
      <c r="F161" s="239">
        <v>2146.7222000468601</v>
      </c>
      <c r="G161" s="239">
        <v>2333.4870314509371</v>
      </c>
    </row>
    <row r="162" spans="1:7" x14ac:dyDescent="0.25">
      <c r="A162" s="129">
        <v>8650</v>
      </c>
      <c r="B162" s="239">
        <v>1061.3611686303045</v>
      </c>
      <c r="C162" s="239">
        <v>1513.1393727974485</v>
      </c>
      <c r="D162" s="239">
        <v>1755.5761778259282</v>
      </c>
      <c r="E162" s="239">
        <v>1960.9785906315617</v>
      </c>
      <c r="F162" s="239">
        <v>2157.0764496947181</v>
      </c>
      <c r="G162" s="239">
        <v>2344.7421008181586</v>
      </c>
    </row>
    <row r="163" spans="1:7" x14ac:dyDescent="0.25">
      <c r="A163" s="129">
        <v>8700</v>
      </c>
      <c r="B163" s="239">
        <v>1066.5594346585976</v>
      </c>
      <c r="C163" s="239">
        <v>1520.468255165822</v>
      </c>
      <c r="D163" s="239">
        <v>1764.0031735513758</v>
      </c>
      <c r="E163" s="239">
        <v>1970.3915448568869</v>
      </c>
      <c r="F163" s="239">
        <v>2167.4306993425753</v>
      </c>
      <c r="G163" s="239">
        <v>2355.9971701853797</v>
      </c>
    </row>
    <row r="164" spans="1:7" x14ac:dyDescent="0.25">
      <c r="A164" s="129">
        <v>8750</v>
      </c>
      <c r="B164" s="239">
        <v>1071.757700686891</v>
      </c>
      <c r="C164" s="239">
        <v>1527.7971375341954</v>
      </c>
      <c r="D164" s="239">
        <v>1772.4301692768236</v>
      </c>
      <c r="E164" s="239">
        <v>1979.804499082212</v>
      </c>
      <c r="F164" s="239">
        <v>2177.7849489904329</v>
      </c>
      <c r="G164" s="239">
        <v>2367.2522395526007</v>
      </c>
    </row>
    <row r="165" spans="1:7" x14ac:dyDescent="0.25">
      <c r="A165" s="129">
        <v>8800</v>
      </c>
      <c r="B165" s="239">
        <v>1076.9559667151843</v>
      </c>
      <c r="C165" s="239">
        <v>1535.1260199025692</v>
      </c>
      <c r="D165" s="239">
        <v>1780.8571650022716</v>
      </c>
      <c r="E165" s="239">
        <v>1989.2174533075372</v>
      </c>
      <c r="F165" s="239">
        <v>2188.139198638291</v>
      </c>
      <c r="G165" s="239">
        <v>2378.5073089198222</v>
      </c>
    </row>
    <row r="166" spans="1:7" x14ac:dyDescent="0.25">
      <c r="A166" s="129">
        <v>8850</v>
      </c>
      <c r="B166" s="239">
        <v>1082.1542327434775</v>
      </c>
      <c r="C166" s="239">
        <v>1542.4549022709425</v>
      </c>
      <c r="D166" s="239">
        <v>1789.2841607277192</v>
      </c>
      <c r="E166" s="239">
        <v>1998.6304075328624</v>
      </c>
      <c r="F166" s="239">
        <v>2198.4934482861486</v>
      </c>
      <c r="G166" s="239">
        <v>2389.7623782870437</v>
      </c>
    </row>
    <row r="167" spans="1:7" x14ac:dyDescent="0.25">
      <c r="A167" s="129">
        <v>8900</v>
      </c>
      <c r="B167" s="239">
        <v>1087.3524987717706</v>
      </c>
      <c r="C167" s="239">
        <v>1549.7837846393161</v>
      </c>
      <c r="D167" s="239">
        <v>1797.711156453167</v>
      </c>
      <c r="E167" s="239">
        <v>2008.0433617581875</v>
      </c>
      <c r="F167" s="239">
        <v>2208.8476979340062</v>
      </c>
      <c r="G167" s="239">
        <v>2401.0174476542647</v>
      </c>
    </row>
    <row r="168" spans="1:7" x14ac:dyDescent="0.25">
      <c r="A168" s="129">
        <v>8950</v>
      </c>
      <c r="B168" s="239">
        <v>1092.5507648000639</v>
      </c>
      <c r="C168" s="239">
        <v>1557.1126670076894</v>
      </c>
      <c r="D168" s="239">
        <v>1806.1381521786145</v>
      </c>
      <c r="E168" s="239">
        <v>2017.4563159835125</v>
      </c>
      <c r="F168" s="239">
        <v>2219.2019475818638</v>
      </c>
      <c r="G168" s="239">
        <v>2412.2725170214858</v>
      </c>
    </row>
    <row r="169" spans="1:7" x14ac:dyDescent="0.25">
      <c r="A169" s="129">
        <v>9000</v>
      </c>
      <c r="B169" s="239">
        <v>1097.749030828357</v>
      </c>
      <c r="C169" s="239">
        <v>1564.441549376063</v>
      </c>
      <c r="D169" s="239">
        <v>1814.5651479040623</v>
      </c>
      <c r="E169" s="239">
        <v>2026.8692702088376</v>
      </c>
      <c r="F169" s="239">
        <v>2229.5561972297214</v>
      </c>
      <c r="G169" s="239">
        <v>2423.5275863887073</v>
      </c>
    </row>
    <row r="170" spans="1:7" x14ac:dyDescent="0.25">
      <c r="A170" s="129">
        <v>9050</v>
      </c>
      <c r="B170" s="239">
        <v>1102.9472968566504</v>
      </c>
      <c r="C170" s="239">
        <v>1571.7704317444366</v>
      </c>
      <c r="D170" s="239">
        <v>1822.9921436295101</v>
      </c>
      <c r="E170" s="239">
        <v>2036.282224434163</v>
      </c>
      <c r="F170" s="239">
        <v>2239.910446877579</v>
      </c>
      <c r="G170" s="239">
        <v>2434.7826557559288</v>
      </c>
    </row>
    <row r="171" spans="1:7" x14ac:dyDescent="0.25">
      <c r="A171" s="129">
        <v>9100</v>
      </c>
      <c r="B171" s="239">
        <v>1106.333016527627</v>
      </c>
      <c r="C171" s="239">
        <v>1576.58973210061</v>
      </c>
      <c r="D171" s="239">
        <v>1828.599296420477</v>
      </c>
      <c r="E171" s="239">
        <v>2042.5454141016728</v>
      </c>
      <c r="F171" s="239">
        <v>2246.7999555118404</v>
      </c>
      <c r="G171" s="239">
        <v>2442.27155164137</v>
      </c>
    </row>
    <row r="172" spans="1:7" x14ac:dyDescent="0.25">
      <c r="A172" s="129">
        <v>9150</v>
      </c>
      <c r="B172" s="239">
        <v>1109.6590561880919</v>
      </c>
      <c r="C172" s="239">
        <v>1581.3264018083244</v>
      </c>
      <c r="D172" s="239">
        <v>1834.1136028931737</v>
      </c>
      <c r="E172" s="239">
        <v>2048.7048944316753</v>
      </c>
      <c r="F172" s="239">
        <v>2253.5753838748428</v>
      </c>
      <c r="G172" s="239">
        <v>2449.6364422719539</v>
      </c>
    </row>
    <row r="173" spans="1:7" x14ac:dyDescent="0.25">
      <c r="A173" s="129">
        <v>9200</v>
      </c>
      <c r="B173" s="239">
        <v>1112.9850958485567</v>
      </c>
      <c r="C173" s="239">
        <v>1586.0630715160389</v>
      </c>
      <c r="D173" s="239">
        <v>1839.6279093658707</v>
      </c>
      <c r="E173" s="239">
        <v>2054.8643747616779</v>
      </c>
      <c r="F173" s="239">
        <v>2260.3508122378457</v>
      </c>
      <c r="G173" s="239">
        <v>2457.0013329025378</v>
      </c>
    </row>
    <row r="174" spans="1:7" x14ac:dyDescent="0.25">
      <c r="A174" s="129">
        <v>9250</v>
      </c>
      <c r="B174" s="239">
        <v>1116.3111355090216</v>
      </c>
      <c r="C174" s="239">
        <v>1590.7997412237532</v>
      </c>
      <c r="D174" s="239">
        <v>1845.1422158385676</v>
      </c>
      <c r="E174" s="239">
        <v>2061.0238550916802</v>
      </c>
      <c r="F174" s="239">
        <v>2267.1262406008486</v>
      </c>
      <c r="G174" s="239">
        <v>2464.3662235331221</v>
      </c>
    </row>
    <row r="175" spans="1:7" x14ac:dyDescent="0.25">
      <c r="A175" s="129">
        <v>9300</v>
      </c>
      <c r="B175" s="239">
        <v>1119.6371751694865</v>
      </c>
      <c r="C175" s="239">
        <v>1595.5364109314676</v>
      </c>
      <c r="D175" s="239">
        <v>1850.6565223112646</v>
      </c>
      <c r="E175" s="239">
        <v>2067.1833354216828</v>
      </c>
      <c r="F175" s="239">
        <v>2273.9016689638511</v>
      </c>
      <c r="G175" s="239">
        <v>2471.731114163706</v>
      </c>
    </row>
    <row r="176" spans="1:7" x14ac:dyDescent="0.25">
      <c r="A176" s="129">
        <v>9350</v>
      </c>
      <c r="B176" s="239">
        <v>1122.9632148299513</v>
      </c>
      <c r="C176" s="239">
        <v>1600.2730806391819</v>
      </c>
      <c r="D176" s="239">
        <v>1856.1708287839615</v>
      </c>
      <c r="E176" s="239">
        <v>2073.3428157516851</v>
      </c>
      <c r="F176" s="239">
        <v>2280.677097326854</v>
      </c>
      <c r="G176" s="239">
        <v>2479.0960047942899</v>
      </c>
    </row>
    <row r="177" spans="1:7" x14ac:dyDescent="0.25">
      <c r="A177" s="129">
        <v>9400</v>
      </c>
      <c r="B177" s="239">
        <v>1126.2892544904164</v>
      </c>
      <c r="C177" s="239">
        <v>1605.0097503468965</v>
      </c>
      <c r="D177" s="239">
        <v>1861.6851352566584</v>
      </c>
      <c r="E177" s="239">
        <v>2079.5022960816877</v>
      </c>
      <c r="F177" s="239">
        <v>2287.4525256898569</v>
      </c>
      <c r="G177" s="239">
        <v>2486.4608954248738</v>
      </c>
    </row>
    <row r="178" spans="1:7" x14ac:dyDescent="0.25">
      <c r="A178" s="129">
        <v>9450</v>
      </c>
      <c r="B178" s="239">
        <v>1129.6152941508813</v>
      </c>
      <c r="C178" s="239">
        <v>1609.746420054611</v>
      </c>
      <c r="D178" s="239">
        <v>1867.1994417293554</v>
      </c>
      <c r="E178" s="239">
        <v>2085.6617764116904</v>
      </c>
      <c r="F178" s="239">
        <v>2294.2279540528593</v>
      </c>
      <c r="G178" s="239">
        <v>2493.8257860554577</v>
      </c>
    </row>
    <row r="179" spans="1:7" x14ac:dyDescent="0.25">
      <c r="A179" s="129">
        <v>9500</v>
      </c>
      <c r="B179" s="239">
        <v>1132.9413338113461</v>
      </c>
      <c r="C179" s="239">
        <v>1614.4830897623253</v>
      </c>
      <c r="D179" s="239">
        <v>1872.7137482020523</v>
      </c>
      <c r="E179" s="239">
        <v>2091.8212567416927</v>
      </c>
      <c r="F179" s="239">
        <v>2301.0033824158622</v>
      </c>
      <c r="G179" s="239">
        <v>2501.190676686042</v>
      </c>
    </row>
    <row r="180" spans="1:7" x14ac:dyDescent="0.25">
      <c r="A180" s="129">
        <v>9550</v>
      </c>
      <c r="B180" s="239">
        <v>1136.267373471811</v>
      </c>
      <c r="C180" s="239">
        <v>1619.2197594700397</v>
      </c>
      <c r="D180" s="239">
        <v>1878.2280546747493</v>
      </c>
      <c r="E180" s="239">
        <v>2097.9807370716953</v>
      </c>
      <c r="F180" s="239">
        <v>2307.7788107788647</v>
      </c>
      <c r="G180" s="239">
        <v>2508.5555673166259</v>
      </c>
    </row>
    <row r="181" spans="1:7" x14ac:dyDescent="0.25">
      <c r="A181" s="129">
        <v>9600</v>
      </c>
      <c r="B181" s="239">
        <v>1139.5934131322761</v>
      </c>
      <c r="C181" s="239">
        <v>1623.9564291777542</v>
      </c>
      <c r="D181" s="239">
        <v>1883.7423611474462</v>
      </c>
      <c r="E181" s="239">
        <v>2104.1402174016976</v>
      </c>
      <c r="F181" s="239">
        <v>2314.5542391418676</v>
      </c>
      <c r="G181" s="239">
        <v>2515.9204579472098</v>
      </c>
    </row>
    <row r="182" spans="1:7" x14ac:dyDescent="0.25">
      <c r="A182" s="129">
        <v>9650</v>
      </c>
      <c r="B182" s="239">
        <v>1142.9194527927409</v>
      </c>
      <c r="C182" s="239">
        <v>1628.6930988854685</v>
      </c>
      <c r="D182" s="239">
        <v>1889.2566676201432</v>
      </c>
      <c r="E182" s="239">
        <v>2110.2996977317002</v>
      </c>
      <c r="F182" s="239">
        <v>2321.3296675048705</v>
      </c>
      <c r="G182" s="239">
        <v>2523.2853485777937</v>
      </c>
    </row>
    <row r="183" spans="1:7" x14ac:dyDescent="0.25">
      <c r="A183" s="129">
        <v>9700</v>
      </c>
      <c r="B183" s="239">
        <v>1146.2454924532058</v>
      </c>
      <c r="C183" s="239">
        <v>1633.4297685931831</v>
      </c>
      <c r="D183" s="239">
        <v>1894.7709740928401</v>
      </c>
      <c r="E183" s="239">
        <v>2116.4591780617025</v>
      </c>
      <c r="F183" s="239">
        <v>2328.1050958678729</v>
      </c>
      <c r="G183" s="239">
        <v>2530.6502392083776</v>
      </c>
    </row>
    <row r="184" spans="1:7" x14ac:dyDescent="0.25">
      <c r="A184" s="129">
        <v>9750</v>
      </c>
      <c r="B184" s="239">
        <v>1149.5715321136706</v>
      </c>
      <c r="C184" s="239">
        <v>1638.1664383008974</v>
      </c>
      <c r="D184" s="239">
        <v>1900.2852805655371</v>
      </c>
      <c r="E184" s="239">
        <v>2122.6186583917051</v>
      </c>
      <c r="F184" s="239">
        <v>2334.8805242308758</v>
      </c>
      <c r="G184" s="239">
        <v>2538.0151298389615</v>
      </c>
    </row>
    <row r="185" spans="1:7" x14ac:dyDescent="0.25">
      <c r="A185" s="129">
        <v>9800</v>
      </c>
      <c r="B185" s="239">
        <v>1152.8975717741355</v>
      </c>
      <c r="C185" s="239">
        <v>1642.9031080086118</v>
      </c>
      <c r="D185" s="239">
        <v>1905.799587038234</v>
      </c>
      <c r="E185" s="239">
        <v>2128.7781387217074</v>
      </c>
      <c r="F185" s="239">
        <v>2341.6559525938783</v>
      </c>
      <c r="G185" s="239">
        <v>2545.3800204695458</v>
      </c>
    </row>
    <row r="186" spans="1:7" x14ac:dyDescent="0.25">
      <c r="A186" s="129">
        <v>9850</v>
      </c>
      <c r="B186" s="239">
        <v>1156.2236114346003</v>
      </c>
      <c r="C186" s="239">
        <v>1647.6397777163261</v>
      </c>
      <c r="D186" s="239">
        <v>1911.3138935109309</v>
      </c>
      <c r="E186" s="239">
        <v>2134.93761905171</v>
      </c>
      <c r="F186" s="239">
        <v>2348.4313809568812</v>
      </c>
      <c r="G186" s="239">
        <v>2552.7449111001297</v>
      </c>
    </row>
    <row r="187" spans="1:7" x14ac:dyDescent="0.25">
      <c r="A187" s="129">
        <v>9900</v>
      </c>
      <c r="B187" s="239">
        <v>1159.5496510950654</v>
      </c>
      <c r="C187" s="239">
        <v>1652.3764474240409</v>
      </c>
      <c r="D187" s="239">
        <v>1916.8281999836281</v>
      </c>
      <c r="E187" s="239">
        <v>2141.0970993817127</v>
      </c>
      <c r="F187" s="239">
        <v>2355.2068093198841</v>
      </c>
      <c r="G187" s="239">
        <v>2560.109801730714</v>
      </c>
    </row>
    <row r="188" spans="1:7" x14ac:dyDescent="0.25">
      <c r="A188" s="129">
        <v>9950</v>
      </c>
      <c r="B188" s="239">
        <v>1162.8756907555303</v>
      </c>
      <c r="C188" s="239">
        <v>1657.1131171317552</v>
      </c>
      <c r="D188" s="239">
        <v>1922.3425064563248</v>
      </c>
      <c r="E188" s="239">
        <v>2147.2565797117149</v>
      </c>
      <c r="F188" s="239">
        <v>2361.9822376828865</v>
      </c>
      <c r="G188" s="239">
        <v>2567.4746923612975</v>
      </c>
    </row>
    <row r="189" spans="1:7" x14ac:dyDescent="0.25">
      <c r="A189" s="129">
        <v>10000</v>
      </c>
      <c r="B189" s="239">
        <v>1166.2017304159951</v>
      </c>
      <c r="C189" s="239">
        <v>1661.8497868394697</v>
      </c>
      <c r="D189" s="239">
        <v>1927.856812929022</v>
      </c>
      <c r="E189" s="239">
        <v>2153.4160600417176</v>
      </c>
      <c r="F189" s="239">
        <v>2368.7576660458894</v>
      </c>
      <c r="G189" s="239">
        <v>2574.8395829918818</v>
      </c>
    </row>
    <row r="190" spans="1:7" x14ac:dyDescent="0.25">
      <c r="A190" s="129">
        <v>10050</v>
      </c>
      <c r="B190" s="239">
        <v>1169.52777007646</v>
      </c>
      <c r="C190" s="239">
        <v>1666.5864565471841</v>
      </c>
      <c r="D190" s="239">
        <v>1933.3711194017189</v>
      </c>
      <c r="E190" s="239">
        <v>2159.5755403717203</v>
      </c>
      <c r="F190" s="239">
        <v>2375.5330944088923</v>
      </c>
      <c r="G190" s="239">
        <v>2582.2044736224657</v>
      </c>
    </row>
    <row r="191" spans="1:7" x14ac:dyDescent="0.25">
      <c r="A191" s="129">
        <v>10100</v>
      </c>
      <c r="B191" s="239">
        <v>1172.8538097369249</v>
      </c>
      <c r="C191" s="239">
        <v>1671.3231262548984</v>
      </c>
      <c r="D191" s="239">
        <v>1938.8854258744157</v>
      </c>
      <c r="E191" s="239">
        <v>2165.7350207017225</v>
      </c>
      <c r="F191" s="239">
        <v>2382.3085227718948</v>
      </c>
      <c r="G191" s="239">
        <v>2589.5693642530496</v>
      </c>
    </row>
    <row r="192" spans="1:7" x14ac:dyDescent="0.25">
      <c r="A192" s="129">
        <v>10150</v>
      </c>
      <c r="B192" s="239">
        <v>1175.6174412001105</v>
      </c>
      <c r="C192" s="239">
        <v>1675.1781028280573</v>
      </c>
      <c r="D192" s="239">
        <v>1943.272909230436</v>
      </c>
      <c r="E192" s="239">
        <v>2170.6358396103974</v>
      </c>
      <c r="F192" s="239">
        <v>2387.6994235714369</v>
      </c>
      <c r="G192" s="239">
        <v>2595.4292734221522</v>
      </c>
    </row>
    <row r="193" spans="1:7" x14ac:dyDescent="0.25">
      <c r="A193" s="129">
        <v>10200</v>
      </c>
      <c r="B193" s="239">
        <v>1178.1717017012493</v>
      </c>
      <c r="C193" s="239">
        <v>1678.7048463834449</v>
      </c>
      <c r="D193" s="239">
        <v>1947.240903608279</v>
      </c>
      <c r="E193" s="239">
        <v>2175.0680893304479</v>
      </c>
      <c r="F193" s="239">
        <v>2392.5748982634927</v>
      </c>
      <c r="G193" s="239">
        <v>2600.7289144124165</v>
      </c>
    </row>
    <row r="194" spans="1:7" x14ac:dyDescent="0.25">
      <c r="A194" s="129">
        <v>10250</v>
      </c>
      <c r="B194" s="239">
        <v>1180.7259622023878</v>
      </c>
      <c r="C194" s="239">
        <v>1682.2315899388323</v>
      </c>
      <c r="D194" s="239">
        <v>1951.2088979861217</v>
      </c>
      <c r="E194" s="239">
        <v>2179.500339050498</v>
      </c>
      <c r="F194" s="239">
        <v>2397.4503729555481</v>
      </c>
      <c r="G194" s="239">
        <v>2606.0285554026805</v>
      </c>
    </row>
    <row r="195" spans="1:7" x14ac:dyDescent="0.25">
      <c r="A195" s="129">
        <v>10300</v>
      </c>
      <c r="B195" s="239">
        <v>1183.2802227035265</v>
      </c>
      <c r="C195" s="239">
        <v>1685.7583334942199</v>
      </c>
      <c r="D195" s="239">
        <v>1955.1768923639645</v>
      </c>
      <c r="E195" s="239">
        <v>2183.9325887705486</v>
      </c>
      <c r="F195" s="239">
        <v>2402.3258476476035</v>
      </c>
      <c r="G195" s="239">
        <v>2611.3281963929448</v>
      </c>
    </row>
    <row r="196" spans="1:7" x14ac:dyDescent="0.25">
      <c r="A196" s="129">
        <v>10350</v>
      </c>
      <c r="B196" s="239">
        <v>1185.8344832046655</v>
      </c>
      <c r="C196" s="239">
        <v>1689.2850770496075</v>
      </c>
      <c r="D196" s="239">
        <v>1959.1448867418073</v>
      </c>
      <c r="E196" s="239">
        <v>2188.3648384905991</v>
      </c>
      <c r="F196" s="239">
        <v>2407.2013223396589</v>
      </c>
      <c r="G196" s="239">
        <v>2616.6278373832092</v>
      </c>
    </row>
    <row r="197" spans="1:7" x14ac:dyDescent="0.25">
      <c r="A197" s="129">
        <v>10400</v>
      </c>
      <c r="B197" s="239">
        <v>1188.388743705804</v>
      </c>
      <c r="C197" s="239">
        <v>1692.8118206049949</v>
      </c>
      <c r="D197" s="239">
        <v>1963.1128811196502</v>
      </c>
      <c r="E197" s="239">
        <v>2192.7970882106497</v>
      </c>
      <c r="F197" s="239">
        <v>2412.0767970317147</v>
      </c>
      <c r="G197" s="239">
        <v>2621.9274783734736</v>
      </c>
    </row>
    <row r="198" spans="1:7" x14ac:dyDescent="0.25">
      <c r="A198" s="129">
        <v>10450</v>
      </c>
      <c r="B198" s="239">
        <v>1190.9430042069428</v>
      </c>
      <c r="C198" s="239">
        <v>1696.3385641603825</v>
      </c>
      <c r="D198" s="239">
        <v>1967.080875497493</v>
      </c>
      <c r="E198" s="239">
        <v>2197.2293379306998</v>
      </c>
      <c r="F198" s="239">
        <v>2416.9522717237701</v>
      </c>
      <c r="G198" s="239">
        <v>2627.227119363738</v>
      </c>
    </row>
    <row r="199" spans="1:7" x14ac:dyDescent="0.25">
      <c r="A199" s="129">
        <v>10500</v>
      </c>
      <c r="B199" s="239">
        <v>1193.4972647080815</v>
      </c>
      <c r="C199" s="239">
        <v>1699.8653077157701</v>
      </c>
      <c r="D199" s="239">
        <v>1971.0488698753359</v>
      </c>
      <c r="E199" s="239">
        <v>2201.6615876507503</v>
      </c>
      <c r="F199" s="239">
        <v>2421.8277464158255</v>
      </c>
      <c r="G199" s="239">
        <v>2632.5267603540024</v>
      </c>
    </row>
    <row r="200" spans="1:7" x14ac:dyDescent="0.25">
      <c r="A200" s="129">
        <v>10550</v>
      </c>
      <c r="B200" s="239">
        <v>1196.0515252092202</v>
      </c>
      <c r="C200" s="239">
        <v>1703.3920512711575</v>
      </c>
      <c r="D200" s="239">
        <v>1975.0168642531787</v>
      </c>
      <c r="E200" s="239">
        <v>2206.0938373708009</v>
      </c>
      <c r="F200" s="239">
        <v>2426.7032211078808</v>
      </c>
      <c r="G200" s="239">
        <v>2637.8264013442667</v>
      </c>
    </row>
    <row r="201" spans="1:7" x14ac:dyDescent="0.25">
      <c r="A201" s="129">
        <v>10600</v>
      </c>
      <c r="B201" s="239">
        <v>1198.605785710359</v>
      </c>
      <c r="C201" s="239">
        <v>1706.9187948265451</v>
      </c>
      <c r="D201" s="239">
        <v>1978.9848586310213</v>
      </c>
      <c r="E201" s="239">
        <v>2210.526087090851</v>
      </c>
      <c r="F201" s="239">
        <v>2431.5786957999362</v>
      </c>
      <c r="G201" s="239">
        <v>2643.1260423345307</v>
      </c>
    </row>
    <row r="202" spans="1:7" x14ac:dyDescent="0.25">
      <c r="A202" s="129">
        <v>10650</v>
      </c>
      <c r="B202" s="239">
        <v>1201.1600462114977</v>
      </c>
      <c r="C202" s="239">
        <v>1710.4455383819327</v>
      </c>
      <c r="D202" s="239">
        <v>1982.9528530088644</v>
      </c>
      <c r="E202" s="239">
        <v>2214.9583368109015</v>
      </c>
      <c r="F202" s="239">
        <v>2436.454170491992</v>
      </c>
      <c r="G202" s="239">
        <v>2648.425683324795</v>
      </c>
    </row>
    <row r="203" spans="1:7" x14ac:dyDescent="0.25">
      <c r="A203" s="129">
        <v>10700</v>
      </c>
      <c r="B203" s="239">
        <v>1203.7143067126365</v>
      </c>
      <c r="C203" s="239">
        <v>1713.9722819373201</v>
      </c>
      <c r="D203" s="239">
        <v>1986.9208473867072</v>
      </c>
      <c r="E203" s="239">
        <v>2219.3905865309521</v>
      </c>
      <c r="F203" s="239">
        <v>2441.3296451840474</v>
      </c>
      <c r="G203" s="239">
        <v>2653.7253243150594</v>
      </c>
    </row>
    <row r="204" spans="1:7" x14ac:dyDescent="0.25">
      <c r="A204" s="129">
        <v>10750</v>
      </c>
      <c r="B204" s="239">
        <v>1206.2685672137752</v>
      </c>
      <c r="C204" s="239">
        <v>1717.4990254927077</v>
      </c>
      <c r="D204" s="239">
        <v>1990.8888417645499</v>
      </c>
      <c r="E204" s="239">
        <v>2223.8228362510026</v>
      </c>
      <c r="F204" s="239">
        <v>2446.2051198761028</v>
      </c>
      <c r="G204" s="239">
        <v>2659.0249653053238</v>
      </c>
    </row>
    <row r="205" spans="1:7" x14ac:dyDescent="0.25">
      <c r="A205" s="129">
        <v>10800</v>
      </c>
      <c r="B205" s="239">
        <v>1208.822827714914</v>
      </c>
      <c r="C205" s="239">
        <v>1721.0257690480953</v>
      </c>
      <c r="D205" s="239">
        <v>1994.8568361423929</v>
      </c>
      <c r="E205" s="239">
        <v>2228.2550859710532</v>
      </c>
      <c r="F205" s="239">
        <v>2451.0805945681586</v>
      </c>
      <c r="G205" s="239">
        <v>2664.3246062955882</v>
      </c>
    </row>
    <row r="206" spans="1:7" x14ac:dyDescent="0.25">
      <c r="A206" s="129">
        <v>10850</v>
      </c>
      <c r="B206" s="239">
        <v>1211.3770882160527</v>
      </c>
      <c r="C206" s="239">
        <v>1724.5525126034827</v>
      </c>
      <c r="D206" s="239">
        <v>1998.8248305202358</v>
      </c>
      <c r="E206" s="239">
        <v>2232.6873356911033</v>
      </c>
      <c r="F206" s="239">
        <v>2455.956069260214</v>
      </c>
      <c r="G206" s="239">
        <v>2669.6242472858526</v>
      </c>
    </row>
    <row r="207" spans="1:7" x14ac:dyDescent="0.25">
      <c r="A207" s="129">
        <v>10900</v>
      </c>
      <c r="B207" s="239">
        <v>1213.9313487171914</v>
      </c>
      <c r="C207" s="239">
        <v>1728.0792561588703</v>
      </c>
      <c r="D207" s="239">
        <v>2002.7928248980784</v>
      </c>
      <c r="E207" s="239">
        <v>2237.1195854111538</v>
      </c>
      <c r="F207" s="239">
        <v>2460.8315439522694</v>
      </c>
      <c r="G207" s="239">
        <v>2674.9238882761165</v>
      </c>
    </row>
    <row r="208" spans="1:7" x14ac:dyDescent="0.25">
      <c r="A208" s="129">
        <v>10950</v>
      </c>
      <c r="B208" s="239">
        <v>1216.48560921833</v>
      </c>
      <c r="C208" s="239">
        <v>1731.6059997142579</v>
      </c>
      <c r="D208" s="239">
        <v>2006.7608192759212</v>
      </c>
      <c r="E208" s="239">
        <v>2241.5518351312044</v>
      </c>
      <c r="F208" s="239">
        <v>2465.7070186443248</v>
      </c>
      <c r="G208" s="239">
        <v>2680.2235292663809</v>
      </c>
    </row>
    <row r="209" spans="1:7" x14ac:dyDescent="0.25">
      <c r="A209" s="129">
        <v>11000</v>
      </c>
      <c r="B209" s="239">
        <v>1219.0398697194687</v>
      </c>
      <c r="C209" s="239">
        <v>1735.1327432696453</v>
      </c>
      <c r="D209" s="239">
        <v>2010.7288136537641</v>
      </c>
      <c r="E209" s="239">
        <v>2245.9840848512545</v>
      </c>
      <c r="F209" s="239">
        <v>2470.5824933363801</v>
      </c>
      <c r="G209" s="239">
        <v>2685.5231702566452</v>
      </c>
    </row>
    <row r="210" spans="1:7" x14ac:dyDescent="0.25">
      <c r="A210" s="129">
        <v>11050</v>
      </c>
      <c r="B210" s="239">
        <v>1221.5941302206074</v>
      </c>
      <c r="C210" s="239">
        <v>1738.6594868250329</v>
      </c>
      <c r="D210" s="239">
        <v>2014.6968080316069</v>
      </c>
      <c r="E210" s="239">
        <v>2250.416334571305</v>
      </c>
      <c r="F210" s="239">
        <v>2475.4579680284355</v>
      </c>
      <c r="G210" s="239">
        <v>2690.8228112469096</v>
      </c>
    </row>
    <row r="211" spans="1:7" x14ac:dyDescent="0.25">
      <c r="A211" s="129">
        <v>11100</v>
      </c>
      <c r="B211" s="239">
        <v>1224.1483907217462</v>
      </c>
      <c r="C211" s="239">
        <v>1742.1862303804205</v>
      </c>
      <c r="D211" s="239">
        <v>2018.6648024094497</v>
      </c>
      <c r="E211" s="239">
        <v>2254.8485842913556</v>
      </c>
      <c r="F211" s="239">
        <v>2480.3334427204913</v>
      </c>
      <c r="G211" s="239">
        <v>2696.122452237174</v>
      </c>
    </row>
    <row r="212" spans="1:7" x14ac:dyDescent="0.25">
      <c r="A212" s="129">
        <v>11150</v>
      </c>
      <c r="B212" s="239">
        <v>1226.7026512228849</v>
      </c>
      <c r="C212" s="239">
        <v>1745.7129739358081</v>
      </c>
      <c r="D212" s="239">
        <v>2022.6327967872926</v>
      </c>
      <c r="E212" s="239">
        <v>2259.2808340114061</v>
      </c>
      <c r="F212" s="239">
        <v>2485.2089174125467</v>
      </c>
      <c r="G212" s="239">
        <v>2701.4220932274384</v>
      </c>
    </row>
    <row r="213" spans="1:7" x14ac:dyDescent="0.25">
      <c r="A213" s="129">
        <v>11200</v>
      </c>
      <c r="B213" s="239">
        <v>1229.2569117240237</v>
      </c>
      <c r="C213" s="239">
        <v>1749.2397174911955</v>
      </c>
      <c r="D213" s="239">
        <v>2026.6007911651354</v>
      </c>
      <c r="E213" s="239">
        <v>2263.7130837314562</v>
      </c>
      <c r="F213" s="239">
        <v>2490.0843921046021</v>
      </c>
      <c r="G213" s="239">
        <v>2706.7217342177023</v>
      </c>
    </row>
    <row r="214" spans="1:7" x14ac:dyDescent="0.25">
      <c r="A214" s="129">
        <v>11250</v>
      </c>
      <c r="B214" s="239">
        <v>1231.8111722251624</v>
      </c>
      <c r="C214" s="239">
        <v>1752.7664610465831</v>
      </c>
      <c r="D214" s="239">
        <v>2030.5687855429783</v>
      </c>
      <c r="E214" s="239">
        <v>2268.1453334515068</v>
      </c>
      <c r="F214" s="239">
        <v>2494.9598667966575</v>
      </c>
      <c r="G214" s="239">
        <v>2712.0213752079671</v>
      </c>
    </row>
    <row r="215" spans="1:7" x14ac:dyDescent="0.25">
      <c r="A215" s="129">
        <v>11300</v>
      </c>
      <c r="B215" s="239">
        <v>1234.3654327263012</v>
      </c>
      <c r="C215" s="239">
        <v>1756.2932046019705</v>
      </c>
      <c r="D215" s="239">
        <v>2034.5367799208211</v>
      </c>
      <c r="E215" s="239">
        <v>2272.5775831715573</v>
      </c>
      <c r="F215" s="239">
        <v>2499.8353414887133</v>
      </c>
      <c r="G215" s="239">
        <v>2717.3210161982311</v>
      </c>
    </row>
    <row r="216" spans="1:7" x14ac:dyDescent="0.25">
      <c r="A216" s="129">
        <v>11350</v>
      </c>
      <c r="B216" s="239">
        <v>1236.9196932274399</v>
      </c>
      <c r="C216" s="239">
        <v>1759.8199481573581</v>
      </c>
      <c r="D216" s="239">
        <v>2038.504774298664</v>
      </c>
      <c r="E216" s="239">
        <v>2277.0098328916079</v>
      </c>
      <c r="F216" s="239">
        <v>2504.7108161807687</v>
      </c>
      <c r="G216" s="239">
        <v>2722.6206571884954</v>
      </c>
    </row>
    <row r="217" spans="1:7" x14ac:dyDescent="0.25">
      <c r="A217" s="129">
        <v>11400</v>
      </c>
      <c r="B217" s="239">
        <v>1239.4739537285786</v>
      </c>
      <c r="C217" s="239">
        <v>1763.3466917127457</v>
      </c>
      <c r="D217" s="239">
        <v>2042.4727686765066</v>
      </c>
      <c r="E217" s="239">
        <v>2281.442082611658</v>
      </c>
      <c r="F217" s="239">
        <v>2509.5862908728241</v>
      </c>
      <c r="G217" s="239">
        <v>2727.9202981787598</v>
      </c>
    </row>
    <row r="218" spans="1:7" x14ac:dyDescent="0.25">
      <c r="A218" s="129">
        <v>11450</v>
      </c>
      <c r="B218" s="239">
        <v>1242.0282142297174</v>
      </c>
      <c r="C218" s="239">
        <v>1766.8734352681333</v>
      </c>
      <c r="D218" s="239">
        <v>2046.4407630543496</v>
      </c>
      <c r="E218" s="239">
        <v>2285.8743323317085</v>
      </c>
      <c r="F218" s="239">
        <v>2514.4617655648794</v>
      </c>
      <c r="G218" s="239">
        <v>2733.2199391690242</v>
      </c>
    </row>
    <row r="219" spans="1:7" x14ac:dyDescent="0.25">
      <c r="A219" s="129">
        <v>11500</v>
      </c>
      <c r="B219" s="239">
        <v>1244.5824747308561</v>
      </c>
      <c r="C219" s="239">
        <v>1770.4001788235207</v>
      </c>
      <c r="D219" s="239">
        <v>2050.4087574321925</v>
      </c>
      <c r="E219" s="239">
        <v>2290.3065820517591</v>
      </c>
      <c r="F219" s="239">
        <v>2519.3372402569348</v>
      </c>
      <c r="G219" s="239">
        <v>2738.5195801592881</v>
      </c>
    </row>
    <row r="220" spans="1:7" x14ac:dyDescent="0.25">
      <c r="A220" s="129">
        <v>11550</v>
      </c>
      <c r="B220" s="239">
        <v>1247.2639292476522</v>
      </c>
      <c r="C220" s="239">
        <v>1774.1526993999855</v>
      </c>
      <c r="D220" s="239">
        <v>2054.6831902283525</v>
      </c>
      <c r="E220" s="239">
        <v>2295.0811234850698</v>
      </c>
      <c r="F220" s="239">
        <v>2524.5892358335768</v>
      </c>
      <c r="G220" s="239">
        <v>2744.228499351098</v>
      </c>
    </row>
    <row r="221" spans="1:7" x14ac:dyDescent="0.25">
      <c r="A221" s="129">
        <v>11600</v>
      </c>
      <c r="B221" s="239">
        <v>1250.1287924409846</v>
      </c>
      <c r="C221" s="239">
        <v>1778.2307813986138</v>
      </c>
      <c r="D221" s="239">
        <v>2059.3994949510566</v>
      </c>
      <c r="E221" s="239">
        <v>2300.3492358603303</v>
      </c>
      <c r="F221" s="239">
        <v>2530.3841594463634</v>
      </c>
      <c r="G221" s="239">
        <v>2750.527581318197</v>
      </c>
    </row>
    <row r="222" spans="1:7" x14ac:dyDescent="0.25">
      <c r="A222" s="129">
        <v>11650</v>
      </c>
      <c r="B222" s="239">
        <v>1252.9936556343171</v>
      </c>
      <c r="C222" s="239">
        <v>1782.3088633972418</v>
      </c>
      <c r="D222" s="239">
        <v>2064.1157996737606</v>
      </c>
      <c r="E222" s="239">
        <v>2305.6173482355907</v>
      </c>
      <c r="F222" s="239">
        <v>2536.1790830591499</v>
      </c>
      <c r="G222" s="239">
        <v>2756.826663285296</v>
      </c>
    </row>
    <row r="223" spans="1:7" x14ac:dyDescent="0.25">
      <c r="A223" s="129">
        <v>11700</v>
      </c>
      <c r="B223" s="239">
        <v>1255.8585188276493</v>
      </c>
      <c r="C223" s="239">
        <v>1786.3869453958698</v>
      </c>
      <c r="D223" s="239">
        <v>2068.8321043964647</v>
      </c>
      <c r="E223" s="239">
        <v>2310.8854606108512</v>
      </c>
      <c r="F223" s="239">
        <v>2541.974006671936</v>
      </c>
      <c r="G223" s="239">
        <v>2763.1257452523946</v>
      </c>
    </row>
    <row r="224" spans="1:7" x14ac:dyDescent="0.25">
      <c r="A224" s="129">
        <v>11750</v>
      </c>
      <c r="B224" s="239">
        <v>1258.7233820209817</v>
      </c>
      <c r="C224" s="239">
        <v>1790.4650273944978</v>
      </c>
      <c r="D224" s="239">
        <v>2073.5484091191688</v>
      </c>
      <c r="E224" s="239">
        <v>2316.1535729861116</v>
      </c>
      <c r="F224" s="239">
        <v>2547.7689302847225</v>
      </c>
      <c r="G224" s="239">
        <v>2769.4248272194936</v>
      </c>
    </row>
    <row r="225" spans="1:7" x14ac:dyDescent="0.25">
      <c r="A225" s="129">
        <v>11800</v>
      </c>
      <c r="B225" s="239">
        <v>1261.5882452143142</v>
      </c>
      <c r="C225" s="239">
        <v>1794.5431093931259</v>
      </c>
      <c r="D225" s="239">
        <v>2078.2647138418724</v>
      </c>
      <c r="E225" s="239">
        <v>2321.4216853613721</v>
      </c>
      <c r="F225" s="239">
        <v>2553.563853897509</v>
      </c>
      <c r="G225" s="239">
        <v>2775.7239091865922</v>
      </c>
    </row>
    <row r="226" spans="1:7" x14ac:dyDescent="0.25">
      <c r="A226" s="129">
        <v>11850</v>
      </c>
      <c r="B226" s="239">
        <v>1264.4531084076464</v>
      </c>
      <c r="C226" s="239">
        <v>1798.6211913917541</v>
      </c>
      <c r="D226" s="239">
        <v>2082.9810185645765</v>
      </c>
      <c r="E226" s="239">
        <v>2326.6897977366325</v>
      </c>
      <c r="F226" s="239">
        <v>2559.3587775102951</v>
      </c>
      <c r="G226" s="239">
        <v>2782.0229911536912</v>
      </c>
    </row>
    <row r="227" spans="1:7" x14ac:dyDescent="0.25">
      <c r="A227" s="129">
        <v>11900</v>
      </c>
      <c r="B227" s="239">
        <v>1267.3179716009788</v>
      </c>
      <c r="C227" s="239">
        <v>1802.6992733903821</v>
      </c>
      <c r="D227" s="239">
        <v>2087.6973232872806</v>
      </c>
      <c r="E227" s="239">
        <v>2331.9579101118929</v>
      </c>
      <c r="F227" s="239">
        <v>2565.1537011230821</v>
      </c>
      <c r="G227" s="239">
        <v>2788.3220731207903</v>
      </c>
    </row>
    <row r="228" spans="1:7" x14ac:dyDescent="0.25">
      <c r="A228" s="129">
        <v>11950</v>
      </c>
      <c r="B228" s="239">
        <v>1270.1828347943112</v>
      </c>
      <c r="C228" s="239">
        <v>1806.7773553890102</v>
      </c>
      <c r="D228" s="239">
        <v>2092.4136280099847</v>
      </c>
      <c r="E228" s="239">
        <v>2337.2260224871534</v>
      </c>
      <c r="F228" s="239">
        <v>2570.9486247358682</v>
      </c>
      <c r="G228" s="239">
        <v>2794.6211550878888</v>
      </c>
    </row>
    <row r="229" spans="1:7" x14ac:dyDescent="0.25">
      <c r="A229" s="129">
        <v>12000</v>
      </c>
      <c r="B229" s="239">
        <v>1273.0476979876435</v>
      </c>
      <c r="C229" s="239">
        <v>1810.8554373876382</v>
      </c>
      <c r="D229" s="239">
        <v>2097.1299327326888</v>
      </c>
      <c r="E229" s="239">
        <v>2342.4941348624134</v>
      </c>
      <c r="F229" s="239">
        <v>2576.7435483486547</v>
      </c>
      <c r="G229" s="239">
        <v>2800.9202370549879</v>
      </c>
    </row>
    <row r="230" spans="1:7" x14ac:dyDescent="0.25">
      <c r="A230" s="129">
        <v>12050</v>
      </c>
      <c r="B230" s="239">
        <v>1275.9125611809759</v>
      </c>
      <c r="C230" s="239">
        <v>1814.9335193862664</v>
      </c>
      <c r="D230" s="239">
        <v>2101.8462374553928</v>
      </c>
      <c r="E230" s="239">
        <v>2347.7622472376743</v>
      </c>
      <c r="F230" s="239">
        <v>2582.5384719614412</v>
      </c>
      <c r="G230" s="239">
        <v>2807.2193190220869</v>
      </c>
    </row>
    <row r="231" spans="1:7" x14ac:dyDescent="0.25">
      <c r="A231" s="129">
        <v>12100</v>
      </c>
      <c r="B231" s="239">
        <v>1278.7774243743083</v>
      </c>
      <c r="C231" s="239">
        <v>1819.0116013848944</v>
      </c>
      <c r="D231" s="239">
        <v>2106.5625421780969</v>
      </c>
      <c r="E231" s="239">
        <v>2353.0303596129343</v>
      </c>
      <c r="F231" s="239">
        <v>2588.3333955742278</v>
      </c>
      <c r="G231" s="239">
        <v>2813.5184009891855</v>
      </c>
    </row>
    <row r="232" spans="1:7" x14ac:dyDescent="0.25">
      <c r="A232" s="129">
        <v>12150</v>
      </c>
      <c r="B232" s="239">
        <v>1281.6422875676406</v>
      </c>
      <c r="C232" s="239">
        <v>1823.0896833835225</v>
      </c>
      <c r="D232" s="239">
        <v>2111.278846900801</v>
      </c>
      <c r="E232" s="239">
        <v>2358.2984719881947</v>
      </c>
      <c r="F232" s="239">
        <v>2594.1283191870143</v>
      </c>
      <c r="G232" s="239">
        <v>2819.8174829562845</v>
      </c>
    </row>
    <row r="233" spans="1:7" x14ac:dyDescent="0.25">
      <c r="A233" s="129">
        <v>12200</v>
      </c>
      <c r="B233" s="239">
        <v>1284.507150760973</v>
      </c>
      <c r="C233" s="239">
        <v>1827.1677653821505</v>
      </c>
      <c r="D233" s="239">
        <v>2115.9951516235051</v>
      </c>
      <c r="E233" s="239">
        <v>2363.5665843634551</v>
      </c>
      <c r="F233" s="239">
        <v>2599.9232427998004</v>
      </c>
      <c r="G233" s="239">
        <v>2826.1165649233835</v>
      </c>
    </row>
    <row r="234" spans="1:7" x14ac:dyDescent="0.25">
      <c r="A234" s="129">
        <v>12250</v>
      </c>
      <c r="B234" s="239">
        <v>1287.3720139543054</v>
      </c>
      <c r="C234" s="239">
        <v>1831.2458473807787</v>
      </c>
      <c r="D234" s="239">
        <v>2120.7114563462087</v>
      </c>
      <c r="E234" s="239">
        <v>2368.8346967387156</v>
      </c>
      <c r="F234" s="239">
        <v>2605.7181664125869</v>
      </c>
      <c r="G234" s="239">
        <v>2832.4156468904821</v>
      </c>
    </row>
    <row r="235" spans="1:7" x14ac:dyDescent="0.25">
      <c r="A235" s="129">
        <v>12300</v>
      </c>
      <c r="B235" s="239">
        <v>1290.2368771476376</v>
      </c>
      <c r="C235" s="239">
        <v>1835.3239293794068</v>
      </c>
      <c r="D235" s="239">
        <v>2125.4277610689128</v>
      </c>
      <c r="E235" s="239">
        <v>2374.102809113976</v>
      </c>
      <c r="F235" s="239">
        <v>2611.5130900253735</v>
      </c>
      <c r="G235" s="239">
        <v>2838.7147288575811</v>
      </c>
    </row>
    <row r="236" spans="1:7" x14ac:dyDescent="0.25">
      <c r="A236" s="129">
        <v>12350</v>
      </c>
      <c r="B236" s="239">
        <v>1293.1017403409703</v>
      </c>
      <c r="C236" s="239">
        <v>1839.402011378035</v>
      </c>
      <c r="D236" s="239">
        <v>2130.1440657916173</v>
      </c>
      <c r="E236" s="239">
        <v>2379.3709214892365</v>
      </c>
      <c r="F236" s="239">
        <v>2617.30801363816</v>
      </c>
      <c r="G236" s="239">
        <v>2845.0138108246801</v>
      </c>
    </row>
    <row r="237" spans="1:7" x14ac:dyDescent="0.25">
      <c r="A237" s="129">
        <v>12400</v>
      </c>
      <c r="B237" s="239">
        <v>1295.9666035343025</v>
      </c>
      <c r="C237" s="239">
        <v>1843.480093376663</v>
      </c>
      <c r="D237" s="239">
        <v>2134.8603705143209</v>
      </c>
      <c r="E237" s="239">
        <v>2384.6390338644969</v>
      </c>
      <c r="F237" s="239">
        <v>2623.1029372509465</v>
      </c>
      <c r="G237" s="239">
        <v>2851.3128927917792</v>
      </c>
    </row>
    <row r="238" spans="1:7" x14ac:dyDescent="0.25">
      <c r="A238" s="129">
        <v>12450</v>
      </c>
      <c r="B238" s="239">
        <v>1298.831466727635</v>
      </c>
      <c r="C238" s="239">
        <v>1847.5581753752911</v>
      </c>
      <c r="D238" s="239">
        <v>2139.576675237025</v>
      </c>
      <c r="E238" s="239">
        <v>2389.9071462397574</v>
      </c>
      <c r="F238" s="239">
        <v>2628.8978608637331</v>
      </c>
      <c r="G238" s="239">
        <v>2857.6119747588777</v>
      </c>
    </row>
    <row r="239" spans="1:7" x14ac:dyDescent="0.25">
      <c r="A239" s="129">
        <v>12500</v>
      </c>
      <c r="B239" s="239">
        <v>1301.6963299209672</v>
      </c>
      <c r="C239" s="239">
        <v>1851.6362573739191</v>
      </c>
      <c r="D239" s="239">
        <v>2144.2929799597291</v>
      </c>
      <c r="E239" s="239">
        <v>2395.1752586150178</v>
      </c>
      <c r="F239" s="239">
        <v>2634.6927844765191</v>
      </c>
      <c r="G239" s="239">
        <v>2863.9110567259768</v>
      </c>
    </row>
    <row r="240" spans="1:7" x14ac:dyDescent="0.25">
      <c r="A240" s="129">
        <v>12550</v>
      </c>
      <c r="B240" s="239">
        <v>1304.5611931142996</v>
      </c>
      <c r="C240" s="239">
        <v>1855.7143393725471</v>
      </c>
      <c r="D240" s="239">
        <v>2149.0092846824332</v>
      </c>
      <c r="E240" s="239">
        <v>2400.4433709902783</v>
      </c>
      <c r="F240" s="239">
        <v>2640.4877080893057</v>
      </c>
      <c r="G240" s="239">
        <v>2870.2101386930754</v>
      </c>
    </row>
    <row r="241" spans="1:7" x14ac:dyDescent="0.25">
      <c r="A241" s="129">
        <v>12600</v>
      </c>
      <c r="B241" s="239">
        <v>1307.4260563076321</v>
      </c>
      <c r="C241" s="239">
        <v>1859.7924213711751</v>
      </c>
      <c r="D241" s="239">
        <v>2153.7255894051373</v>
      </c>
      <c r="E241" s="239">
        <v>2405.7114833655382</v>
      </c>
      <c r="F241" s="239">
        <v>2646.2826317020922</v>
      </c>
      <c r="G241" s="239">
        <v>2876.5092206601744</v>
      </c>
    </row>
    <row r="242" spans="1:7" x14ac:dyDescent="0.25">
      <c r="A242" s="129">
        <v>12650</v>
      </c>
      <c r="B242" s="239">
        <v>1310.2909195009643</v>
      </c>
      <c r="C242" s="239">
        <v>1863.8705033698034</v>
      </c>
      <c r="D242" s="239">
        <v>2158.4418941278414</v>
      </c>
      <c r="E242" s="239">
        <v>2410.9795957407987</v>
      </c>
      <c r="F242" s="239">
        <v>2652.0775553148787</v>
      </c>
      <c r="G242" s="239">
        <v>2882.808302627273</v>
      </c>
    </row>
    <row r="243" spans="1:7" x14ac:dyDescent="0.25">
      <c r="A243" s="129">
        <v>12700</v>
      </c>
      <c r="B243" s="239">
        <v>1313.1557826942967</v>
      </c>
      <c r="C243" s="239">
        <v>1867.9485853684316</v>
      </c>
      <c r="D243" s="239">
        <v>2163.1581988505454</v>
      </c>
      <c r="E243" s="239">
        <v>2416.2477081160596</v>
      </c>
      <c r="F243" s="239">
        <v>2657.8724789276653</v>
      </c>
      <c r="G243" s="239">
        <v>2889.1073845943724</v>
      </c>
    </row>
    <row r="244" spans="1:7" x14ac:dyDescent="0.25">
      <c r="A244" s="129">
        <v>12750</v>
      </c>
      <c r="B244" s="239">
        <v>1316.0206458876289</v>
      </c>
      <c r="C244" s="239">
        <v>1872.0266673670594</v>
      </c>
      <c r="D244" s="239">
        <v>2167.8745035732491</v>
      </c>
      <c r="E244" s="239">
        <v>2421.5158204913196</v>
      </c>
      <c r="F244" s="239">
        <v>2663.6674025404513</v>
      </c>
      <c r="G244" s="239">
        <v>2895.406466561471</v>
      </c>
    </row>
    <row r="245" spans="1:7" x14ac:dyDescent="0.25">
      <c r="A245" s="129">
        <v>12800</v>
      </c>
      <c r="B245" s="239">
        <v>1318.8855090809616</v>
      </c>
      <c r="C245" s="239">
        <v>1876.1047493656877</v>
      </c>
      <c r="D245" s="239">
        <v>2172.5908082959536</v>
      </c>
      <c r="E245" s="239">
        <v>2426.7839328665805</v>
      </c>
      <c r="F245" s="239">
        <v>2669.4623261532379</v>
      </c>
      <c r="G245" s="239">
        <v>2901.70554852857</v>
      </c>
    </row>
    <row r="246" spans="1:7" x14ac:dyDescent="0.25">
      <c r="A246" s="129">
        <v>12850</v>
      </c>
      <c r="B246" s="239">
        <v>1321.7503722742936</v>
      </c>
      <c r="C246" s="239">
        <v>1880.1828313643155</v>
      </c>
      <c r="D246" s="239">
        <v>2177.3071130186572</v>
      </c>
      <c r="E246" s="239">
        <v>2432.0520452418405</v>
      </c>
      <c r="F246" s="239">
        <v>2675.257249766024</v>
      </c>
      <c r="G246" s="239">
        <v>2908.0046304956686</v>
      </c>
    </row>
    <row r="247" spans="1:7" x14ac:dyDescent="0.25">
      <c r="A247" s="129">
        <v>12900</v>
      </c>
      <c r="B247" s="239">
        <v>1324.6152354676262</v>
      </c>
      <c r="C247" s="239">
        <v>1884.2609133629437</v>
      </c>
      <c r="D247" s="239">
        <v>2182.0234177413613</v>
      </c>
      <c r="E247" s="239">
        <v>2437.3201576171009</v>
      </c>
      <c r="F247" s="239">
        <v>2681.0521733788109</v>
      </c>
      <c r="G247" s="239">
        <v>2914.3037124627676</v>
      </c>
    </row>
    <row r="248" spans="1:7" x14ac:dyDescent="0.25">
      <c r="A248" s="129">
        <v>12950</v>
      </c>
      <c r="B248" s="239">
        <v>1327.4800986609584</v>
      </c>
      <c r="C248" s="239">
        <v>1888.3389953615717</v>
      </c>
      <c r="D248" s="239">
        <v>2186.7397224640654</v>
      </c>
      <c r="E248" s="239">
        <v>2442.5882699923613</v>
      </c>
      <c r="F248" s="239">
        <v>2686.8470969915975</v>
      </c>
      <c r="G248" s="239">
        <v>2920.6027944298667</v>
      </c>
    </row>
    <row r="249" spans="1:7" x14ac:dyDescent="0.25">
      <c r="A249" s="129">
        <v>13000</v>
      </c>
      <c r="B249" s="239">
        <v>1330.3449618542909</v>
      </c>
      <c r="C249" s="239">
        <v>1892.4170773601998</v>
      </c>
      <c r="D249" s="239">
        <v>2191.4560271867695</v>
      </c>
      <c r="E249" s="239">
        <v>2447.8563823676218</v>
      </c>
      <c r="F249" s="239">
        <v>2692.6420206043836</v>
      </c>
      <c r="G249" s="239">
        <v>2926.9018763969652</v>
      </c>
    </row>
    <row r="250" spans="1:7" x14ac:dyDescent="0.25">
      <c r="A250" s="129">
        <v>13050</v>
      </c>
      <c r="B250" s="239">
        <v>1333.2098250476233</v>
      </c>
      <c r="C250" s="239">
        <v>1896.495159358828</v>
      </c>
      <c r="D250" s="239">
        <v>2196.1723319094735</v>
      </c>
      <c r="E250" s="239">
        <v>2453.1244947428822</v>
      </c>
      <c r="F250" s="239">
        <v>2698.4369442171701</v>
      </c>
      <c r="G250" s="239">
        <v>2933.2009583640643</v>
      </c>
    </row>
    <row r="251" spans="1:7" x14ac:dyDescent="0.25">
      <c r="A251" s="129">
        <v>13100</v>
      </c>
      <c r="B251" s="239">
        <v>1336.0746882409555</v>
      </c>
      <c r="C251" s="239">
        <v>1900.573241357456</v>
      </c>
      <c r="D251" s="239">
        <v>2200.8886366321776</v>
      </c>
      <c r="E251" s="239">
        <v>2458.3926071181427</v>
      </c>
      <c r="F251" s="239">
        <v>2704.2318678299566</v>
      </c>
      <c r="G251" s="239">
        <v>2939.5000403311628</v>
      </c>
    </row>
    <row r="252" spans="1:7" x14ac:dyDescent="0.25">
      <c r="A252" s="129">
        <v>13150</v>
      </c>
      <c r="B252" s="239">
        <v>1338.9395514342882</v>
      </c>
      <c r="C252" s="239">
        <v>1904.6513233560843</v>
      </c>
      <c r="D252" s="239">
        <v>2205.6049413548817</v>
      </c>
      <c r="E252" s="239">
        <v>2463.6607194934031</v>
      </c>
      <c r="F252" s="239">
        <v>2710.0267914427432</v>
      </c>
      <c r="G252" s="239">
        <v>2945.7991222982623</v>
      </c>
    </row>
    <row r="253" spans="1:7" x14ac:dyDescent="0.25">
      <c r="A253" s="129">
        <v>13200</v>
      </c>
      <c r="B253" s="239">
        <v>1341.8044146276202</v>
      </c>
      <c r="C253" s="239">
        <v>1908.7294053547121</v>
      </c>
      <c r="D253" s="239">
        <v>2210.3212460775853</v>
      </c>
      <c r="E253" s="239">
        <v>2468.9288318686631</v>
      </c>
      <c r="F253" s="239">
        <v>2715.8217150555292</v>
      </c>
      <c r="G253" s="239">
        <v>2952.0982042653604</v>
      </c>
    </row>
    <row r="254" spans="1:7" x14ac:dyDescent="0.25">
      <c r="A254" s="129">
        <v>13250</v>
      </c>
      <c r="B254" s="239">
        <v>1344.6692778209529</v>
      </c>
      <c r="C254" s="239">
        <v>1912.8074873533403</v>
      </c>
      <c r="D254" s="239">
        <v>2215.0375508002899</v>
      </c>
      <c r="E254" s="239">
        <v>2474.196944243924</v>
      </c>
      <c r="F254" s="239">
        <v>2721.6166386683162</v>
      </c>
      <c r="G254" s="239">
        <v>2958.3972862324599</v>
      </c>
    </row>
    <row r="255" spans="1:7" x14ac:dyDescent="0.25">
      <c r="A255" s="129">
        <v>13300</v>
      </c>
      <c r="B255" s="239">
        <v>1347.5341410142851</v>
      </c>
      <c r="C255" s="239">
        <v>1916.8855693519683</v>
      </c>
      <c r="D255" s="239">
        <v>2219.7538555229939</v>
      </c>
      <c r="E255" s="239">
        <v>2479.4650566191845</v>
      </c>
      <c r="F255" s="239">
        <v>2727.4115622811023</v>
      </c>
      <c r="G255" s="239">
        <v>2964.6963681995585</v>
      </c>
    </row>
    <row r="256" spans="1:7" x14ac:dyDescent="0.25">
      <c r="A256" s="129">
        <v>13350</v>
      </c>
      <c r="B256" s="239">
        <v>1350.3990042076175</v>
      </c>
      <c r="C256" s="239">
        <v>1920.9636513505964</v>
      </c>
      <c r="D256" s="239">
        <v>2224.4701602456976</v>
      </c>
      <c r="E256" s="239">
        <v>2484.7331689944444</v>
      </c>
      <c r="F256" s="239">
        <v>2733.2064858938888</v>
      </c>
      <c r="G256" s="239">
        <v>2970.9954501666575</v>
      </c>
    </row>
    <row r="257" spans="1:7" x14ac:dyDescent="0.25">
      <c r="A257" s="129">
        <v>13400</v>
      </c>
      <c r="B257" s="239">
        <v>1353.2638674009499</v>
      </c>
      <c r="C257" s="239">
        <v>1925.0417333492244</v>
      </c>
      <c r="D257" s="239">
        <v>2229.1864649684017</v>
      </c>
      <c r="E257" s="239">
        <v>2490.0012813697049</v>
      </c>
      <c r="F257" s="239">
        <v>2739.0014095066754</v>
      </c>
      <c r="G257" s="239">
        <v>2977.2945321337561</v>
      </c>
    </row>
    <row r="258" spans="1:7" x14ac:dyDescent="0.25">
      <c r="A258" s="129">
        <v>13450</v>
      </c>
      <c r="B258" s="239">
        <v>1356.1287305942822</v>
      </c>
      <c r="C258" s="239">
        <v>1929.1198153478526</v>
      </c>
      <c r="D258" s="239">
        <v>2233.9027696911057</v>
      </c>
      <c r="E258" s="239">
        <v>2495.2693937449653</v>
      </c>
      <c r="F258" s="239">
        <v>2744.7963331194619</v>
      </c>
      <c r="G258" s="239">
        <v>2983.5936141008551</v>
      </c>
    </row>
    <row r="259" spans="1:7" x14ac:dyDescent="0.25">
      <c r="A259" s="129">
        <v>13500</v>
      </c>
      <c r="B259" s="239">
        <v>1358.9935937876146</v>
      </c>
      <c r="C259" s="239">
        <v>1933.1978973464809</v>
      </c>
      <c r="D259" s="239">
        <v>2238.6190744138103</v>
      </c>
      <c r="E259" s="239">
        <v>2500.5375061202262</v>
      </c>
      <c r="F259" s="239">
        <v>2750.5912567322484</v>
      </c>
      <c r="G259" s="239">
        <v>2989.8926960679541</v>
      </c>
    </row>
    <row r="260" spans="1:7" x14ac:dyDescent="0.25">
      <c r="A260" s="129">
        <v>13550</v>
      </c>
      <c r="B260" s="239">
        <v>1361.8584569809468</v>
      </c>
      <c r="C260" s="239">
        <v>1937.2759793451087</v>
      </c>
      <c r="D260" s="239">
        <v>2243.3353791365139</v>
      </c>
      <c r="E260" s="239">
        <v>2505.8056184954862</v>
      </c>
      <c r="F260" s="239">
        <v>2756.3861803450345</v>
      </c>
      <c r="G260" s="239">
        <v>2996.1917780350527</v>
      </c>
    </row>
    <row r="261" spans="1:7" x14ac:dyDescent="0.25">
      <c r="A261" s="129">
        <v>13600</v>
      </c>
      <c r="B261" s="239">
        <v>1364.7233201742795</v>
      </c>
      <c r="C261" s="239">
        <v>1941.3540613437369</v>
      </c>
      <c r="D261" s="239">
        <v>2248.051683859218</v>
      </c>
      <c r="E261" s="239">
        <v>2511.0737308707467</v>
      </c>
      <c r="F261" s="239">
        <v>2762.1811039578215</v>
      </c>
      <c r="G261" s="239">
        <v>3002.4908600021517</v>
      </c>
    </row>
    <row r="262" spans="1:7" x14ac:dyDescent="0.25">
      <c r="A262" s="129">
        <v>13650</v>
      </c>
      <c r="B262" s="239">
        <v>1367.5881833676117</v>
      </c>
      <c r="C262" s="239">
        <v>1945.4321433423647</v>
      </c>
      <c r="D262" s="239">
        <v>2252.7679885819216</v>
      </c>
      <c r="E262" s="239">
        <v>2516.3418432460066</v>
      </c>
      <c r="F262" s="239">
        <v>2767.9760275706076</v>
      </c>
      <c r="G262" s="239">
        <v>3008.7899419692503</v>
      </c>
    </row>
    <row r="263" spans="1:7" x14ac:dyDescent="0.25">
      <c r="A263" s="129">
        <v>13700</v>
      </c>
      <c r="B263" s="239">
        <v>1370.4530465609441</v>
      </c>
      <c r="C263" s="239">
        <v>1949.510225340993</v>
      </c>
      <c r="D263" s="239">
        <v>2257.4842933046261</v>
      </c>
      <c r="E263" s="239">
        <v>2521.6099556212675</v>
      </c>
      <c r="F263" s="239">
        <v>2773.7709511833941</v>
      </c>
      <c r="G263" s="239">
        <v>3015.0890239363498</v>
      </c>
    </row>
    <row r="264" spans="1:7" x14ac:dyDescent="0.25">
      <c r="A264" s="129">
        <v>13750</v>
      </c>
      <c r="B264" s="239">
        <v>1373.3179097542763</v>
      </c>
      <c r="C264" s="239">
        <v>1953.588307339621</v>
      </c>
      <c r="D264" s="239">
        <v>2262.2005980273302</v>
      </c>
      <c r="E264" s="239">
        <v>2526.878067996528</v>
      </c>
      <c r="F264" s="239">
        <v>2779.5658747961807</v>
      </c>
      <c r="G264" s="239">
        <v>3021.3881059034484</v>
      </c>
    </row>
    <row r="265" spans="1:7" x14ac:dyDescent="0.25">
      <c r="A265" s="129">
        <v>13800</v>
      </c>
      <c r="B265" s="239">
        <v>1376.1827729476088</v>
      </c>
      <c r="C265" s="239">
        <v>1957.666389338249</v>
      </c>
      <c r="D265" s="239">
        <v>2266.9169027500338</v>
      </c>
      <c r="E265" s="239">
        <v>2532.1461803717884</v>
      </c>
      <c r="F265" s="239">
        <v>2785.3607984089667</v>
      </c>
      <c r="G265" s="239">
        <v>3027.6871878705474</v>
      </c>
    </row>
    <row r="266" spans="1:7" x14ac:dyDescent="0.25">
      <c r="A266" s="129">
        <v>13850</v>
      </c>
      <c r="B266" s="239">
        <v>1379.0476361409412</v>
      </c>
      <c r="C266" s="239">
        <v>1961.744471336877</v>
      </c>
      <c r="D266" s="239">
        <v>2271.6332074727379</v>
      </c>
      <c r="E266" s="239">
        <v>2537.4142927470484</v>
      </c>
      <c r="F266" s="239">
        <v>2791.1557220217533</v>
      </c>
      <c r="G266" s="239">
        <v>3033.986269837646</v>
      </c>
    </row>
    <row r="267" spans="1:7" x14ac:dyDescent="0.25">
      <c r="A267" s="129">
        <v>13900</v>
      </c>
      <c r="B267" s="239">
        <v>1381.9124993342734</v>
      </c>
      <c r="C267" s="239">
        <v>1965.8225533355053</v>
      </c>
      <c r="D267" s="239">
        <v>2276.349512195442</v>
      </c>
      <c r="E267" s="239">
        <v>2542.6824051223089</v>
      </c>
      <c r="F267" s="239">
        <v>2796.9506456345398</v>
      </c>
      <c r="G267" s="239">
        <v>3040.285351804745</v>
      </c>
    </row>
    <row r="268" spans="1:7" x14ac:dyDescent="0.25">
      <c r="A268" s="129">
        <v>13950</v>
      </c>
      <c r="B268" s="239">
        <v>1384.7773625276059</v>
      </c>
      <c r="C268" s="239">
        <v>1969.9006353341335</v>
      </c>
      <c r="D268" s="239">
        <v>2281.0658169181465</v>
      </c>
      <c r="E268" s="239">
        <v>2547.9505174975698</v>
      </c>
      <c r="F268" s="239">
        <v>2802.7455692473263</v>
      </c>
      <c r="G268" s="239">
        <v>3046.584433771844</v>
      </c>
    </row>
    <row r="269" spans="1:7" x14ac:dyDescent="0.25">
      <c r="A269" s="129">
        <v>14000</v>
      </c>
      <c r="B269" s="239">
        <v>1387.6422257209381</v>
      </c>
      <c r="C269" s="239">
        <v>1973.9787173327613</v>
      </c>
      <c r="D269" s="239">
        <v>2285.7821216408502</v>
      </c>
      <c r="E269" s="239">
        <v>2553.2186298728298</v>
      </c>
      <c r="F269" s="239">
        <v>2808.5404928601129</v>
      </c>
      <c r="G269" s="239">
        <v>3052.8835157389426</v>
      </c>
    </row>
    <row r="270" spans="1:7" x14ac:dyDescent="0.25">
      <c r="A270" s="129">
        <v>14050</v>
      </c>
      <c r="B270" s="239">
        <v>1390.5070889142708</v>
      </c>
      <c r="C270" s="239">
        <v>1978.0567993313896</v>
      </c>
      <c r="D270" s="239">
        <v>2290.4984263635542</v>
      </c>
      <c r="E270" s="239">
        <v>2558.4867422480902</v>
      </c>
      <c r="F270" s="239">
        <v>2814.3354164728994</v>
      </c>
      <c r="G270" s="239">
        <v>3059.1825977060416</v>
      </c>
    </row>
    <row r="271" spans="1:7" x14ac:dyDescent="0.25">
      <c r="A271" s="129">
        <v>14100</v>
      </c>
      <c r="B271" s="239">
        <v>1393.3719521076027</v>
      </c>
      <c r="C271" s="239">
        <v>1982.1348813300174</v>
      </c>
      <c r="D271" s="239">
        <v>2295.2147310862583</v>
      </c>
      <c r="E271" s="239">
        <v>2563.7548546233506</v>
      </c>
      <c r="F271" s="239">
        <v>2820.1303400856855</v>
      </c>
      <c r="G271" s="239">
        <v>3065.4816796731402</v>
      </c>
    </row>
    <row r="272" spans="1:7" x14ac:dyDescent="0.25">
      <c r="A272" s="129">
        <v>14150</v>
      </c>
      <c r="B272" s="239">
        <v>1396.2368153009354</v>
      </c>
      <c r="C272" s="239">
        <v>1986.2129633286456</v>
      </c>
      <c r="D272" s="239">
        <v>2299.9310358089624</v>
      </c>
      <c r="E272" s="239">
        <v>2569.0229669986111</v>
      </c>
      <c r="F272" s="239">
        <v>2825.925263698472</v>
      </c>
      <c r="G272" s="239">
        <v>3071.7807616402392</v>
      </c>
    </row>
    <row r="273" spans="1:7" x14ac:dyDescent="0.25">
      <c r="A273" s="129">
        <v>14200</v>
      </c>
      <c r="B273" s="239">
        <v>1399.1016784942676</v>
      </c>
      <c r="C273" s="239">
        <v>1990.2910453272737</v>
      </c>
      <c r="D273" s="239">
        <v>2304.6473405316665</v>
      </c>
      <c r="E273" s="239">
        <v>2574.2910793738715</v>
      </c>
      <c r="F273" s="239">
        <v>2831.7201873112585</v>
      </c>
      <c r="G273" s="239">
        <v>3078.0798436073383</v>
      </c>
    </row>
    <row r="274" spans="1:7" x14ac:dyDescent="0.25">
      <c r="A274" s="129">
        <v>14250</v>
      </c>
      <c r="B274" s="239">
        <v>1401.9665416876001</v>
      </c>
      <c r="C274" s="239">
        <v>1994.3691273259017</v>
      </c>
      <c r="D274" s="239">
        <v>2309.3636452543706</v>
      </c>
      <c r="E274" s="239">
        <v>2579.559191749132</v>
      </c>
      <c r="F274" s="239">
        <v>2837.5151109240451</v>
      </c>
      <c r="G274" s="239">
        <v>3084.3789255744368</v>
      </c>
    </row>
    <row r="275" spans="1:7" x14ac:dyDescent="0.25">
      <c r="A275" s="129">
        <v>14300</v>
      </c>
      <c r="B275" s="239">
        <v>1404.8314048809325</v>
      </c>
      <c r="C275" s="239">
        <v>1998.4472093245299</v>
      </c>
      <c r="D275" s="239">
        <v>2314.0799499770742</v>
      </c>
      <c r="E275" s="239">
        <v>2584.8273041243924</v>
      </c>
      <c r="F275" s="239">
        <v>2843.3100345368312</v>
      </c>
      <c r="G275" s="239">
        <v>3090.6780075415359</v>
      </c>
    </row>
    <row r="276" spans="1:7" x14ac:dyDescent="0.25">
      <c r="A276" s="129">
        <v>14350</v>
      </c>
      <c r="B276" s="239">
        <v>1407.6962680742647</v>
      </c>
      <c r="C276" s="239">
        <v>2002.5252913231579</v>
      </c>
      <c r="D276" s="239">
        <v>2318.7962546997783</v>
      </c>
      <c r="E276" s="239">
        <v>2590.0954164996529</v>
      </c>
      <c r="F276" s="239">
        <v>2849.1049581496177</v>
      </c>
      <c r="G276" s="239">
        <v>3096.9770895086349</v>
      </c>
    </row>
    <row r="277" spans="1:7" x14ac:dyDescent="0.25">
      <c r="A277" s="129">
        <v>14400</v>
      </c>
      <c r="B277" s="239">
        <v>1410.5119081746079</v>
      </c>
      <c r="C277" s="239">
        <v>2006.3771881725013</v>
      </c>
      <c r="D277" s="239">
        <v>2323.1149294948505</v>
      </c>
      <c r="E277" s="239">
        <v>2594.9193762457485</v>
      </c>
      <c r="F277" s="239">
        <v>2854.4113138703237</v>
      </c>
      <c r="G277" s="239">
        <v>3102.7450981770421</v>
      </c>
    </row>
    <row r="278" spans="1:7" x14ac:dyDescent="0.25">
      <c r="A278" s="129">
        <v>14450</v>
      </c>
      <c r="B278" s="239">
        <v>1413.3129355058607</v>
      </c>
      <c r="C278" s="239">
        <v>2010.1619378525518</v>
      </c>
      <c r="D278" s="239">
        <v>2327.3155606245846</v>
      </c>
      <c r="E278" s="239">
        <v>2599.6114812176611</v>
      </c>
      <c r="F278" s="239">
        <v>2859.5726293394277</v>
      </c>
      <c r="G278" s="239">
        <v>3108.3554480919579</v>
      </c>
    </row>
    <row r="279" spans="1:7" x14ac:dyDescent="0.25">
      <c r="A279" s="129">
        <v>14500</v>
      </c>
      <c r="B279" s="239">
        <v>1415.9010821834916</v>
      </c>
      <c r="C279" s="239">
        <v>2013.6590430756219</v>
      </c>
      <c r="D279" s="239">
        <v>2331.1969399246254</v>
      </c>
      <c r="E279" s="239">
        <v>2603.9469818958069</v>
      </c>
      <c r="F279" s="239">
        <v>2864.3416800853879</v>
      </c>
      <c r="G279" s="239">
        <v>3113.5394062528167</v>
      </c>
    </row>
    <row r="280" spans="1:7" x14ac:dyDescent="0.25">
      <c r="A280" s="129">
        <v>14550</v>
      </c>
      <c r="B280" s="239">
        <v>1418.4466118507717</v>
      </c>
      <c r="C280" s="239">
        <v>2017.0985641707225</v>
      </c>
      <c r="D280" s="239">
        <v>2335.0144075525673</v>
      </c>
      <c r="E280" s="239">
        <v>2608.2110932362179</v>
      </c>
      <c r="F280" s="239">
        <v>2869.0322025598402</v>
      </c>
      <c r="G280" s="239">
        <v>3118.6380041825464</v>
      </c>
    </row>
    <row r="281" spans="1:7" x14ac:dyDescent="0.25">
      <c r="A281" s="129">
        <v>14600</v>
      </c>
      <c r="B281" s="239">
        <v>1420.9921415180518</v>
      </c>
      <c r="C281" s="239">
        <v>2020.5380852658229</v>
      </c>
      <c r="D281" s="239">
        <v>2338.8318751805091</v>
      </c>
      <c r="E281" s="239">
        <v>2612.4752045766286</v>
      </c>
      <c r="F281" s="239">
        <v>2873.7227250342921</v>
      </c>
      <c r="G281" s="239">
        <v>3123.7366021122757</v>
      </c>
    </row>
    <row r="282" spans="1:7" x14ac:dyDescent="0.25">
      <c r="A282" s="129">
        <v>14650</v>
      </c>
      <c r="B282" s="239">
        <v>1423.5376711853319</v>
      </c>
      <c r="C282" s="239">
        <v>2023.9776063609236</v>
      </c>
      <c r="D282" s="239">
        <v>2342.6493428084509</v>
      </c>
      <c r="E282" s="239">
        <v>2616.7393159170401</v>
      </c>
      <c r="F282" s="239">
        <v>2878.4132475087445</v>
      </c>
      <c r="G282" s="239">
        <v>3128.835200042005</v>
      </c>
    </row>
    <row r="283" spans="1:7" x14ac:dyDescent="0.25">
      <c r="A283" s="129">
        <v>14700</v>
      </c>
      <c r="B283" s="239">
        <v>1426.083200852612</v>
      </c>
      <c r="C283" s="239">
        <v>2027.417127456024</v>
      </c>
      <c r="D283" s="239">
        <v>2346.4668104363927</v>
      </c>
      <c r="E283" s="239">
        <v>2621.0034272574508</v>
      </c>
      <c r="F283" s="239">
        <v>2883.1037699831963</v>
      </c>
      <c r="G283" s="239">
        <v>3133.9337979717343</v>
      </c>
    </row>
    <row r="284" spans="1:7" x14ac:dyDescent="0.25">
      <c r="A284" s="129">
        <v>14750</v>
      </c>
      <c r="B284" s="239">
        <v>1428.6287305198919</v>
      </c>
      <c r="C284" s="239">
        <v>2030.8566485511244</v>
      </c>
      <c r="D284" s="239">
        <v>2350.2842780643341</v>
      </c>
      <c r="E284" s="239">
        <v>2625.2675385978619</v>
      </c>
      <c r="F284" s="239">
        <v>2887.7942924576482</v>
      </c>
      <c r="G284" s="239">
        <v>3139.0323959014636</v>
      </c>
    </row>
    <row r="285" spans="1:7" x14ac:dyDescent="0.25">
      <c r="A285" s="129">
        <v>14800</v>
      </c>
      <c r="B285" s="239">
        <v>1431.174260187172</v>
      </c>
      <c r="C285" s="239">
        <v>2034.2961696462248</v>
      </c>
      <c r="D285" s="239">
        <v>2354.1017456922759</v>
      </c>
      <c r="E285" s="239">
        <v>2629.5316499382725</v>
      </c>
      <c r="F285" s="239">
        <v>2892.4848149321001</v>
      </c>
      <c r="G285" s="239">
        <v>3144.1309938311929</v>
      </c>
    </row>
    <row r="286" spans="1:7" x14ac:dyDescent="0.25">
      <c r="A286" s="129">
        <v>14850</v>
      </c>
      <c r="B286" s="239">
        <v>1433.7197898544521</v>
      </c>
      <c r="C286" s="239">
        <v>2037.735690741325</v>
      </c>
      <c r="D286" s="239">
        <v>2357.9192133202178</v>
      </c>
      <c r="E286" s="239">
        <v>2633.7957612786836</v>
      </c>
      <c r="F286" s="239">
        <v>2897.1753374065524</v>
      </c>
      <c r="G286" s="239">
        <v>3149.2295917609222</v>
      </c>
    </row>
    <row r="287" spans="1:7" x14ac:dyDescent="0.25">
      <c r="A287" s="129">
        <v>14900</v>
      </c>
      <c r="B287" s="239">
        <v>1436.2653195217322</v>
      </c>
      <c r="C287" s="239">
        <v>2041.1752118364257</v>
      </c>
      <c r="D287" s="239">
        <v>2361.7366809481596</v>
      </c>
      <c r="E287" s="239">
        <v>2638.0598726190947</v>
      </c>
      <c r="F287" s="239">
        <v>2901.8658598810043</v>
      </c>
      <c r="G287" s="239">
        <v>3154.3281896906519</v>
      </c>
    </row>
    <row r="288" spans="1:7" x14ac:dyDescent="0.25">
      <c r="A288" s="129">
        <v>14950</v>
      </c>
      <c r="B288" s="239">
        <v>1438.8108491890123</v>
      </c>
      <c r="C288" s="239">
        <v>2044.6147329315261</v>
      </c>
      <c r="D288" s="239">
        <v>2365.5541485761014</v>
      </c>
      <c r="E288" s="239">
        <v>2642.3239839595053</v>
      </c>
      <c r="F288" s="239">
        <v>2906.5563823554567</v>
      </c>
      <c r="G288" s="239">
        <v>3159.4267876203812</v>
      </c>
    </row>
    <row r="289" spans="1:7" x14ac:dyDescent="0.25">
      <c r="A289" s="129">
        <v>15000</v>
      </c>
      <c r="B289" s="239">
        <v>1441.3563788562924</v>
      </c>
      <c r="C289" s="239">
        <v>2048.0542540266269</v>
      </c>
      <c r="D289" s="239">
        <v>2369.3716162040432</v>
      </c>
      <c r="E289" s="239">
        <v>2646.5880952999164</v>
      </c>
      <c r="F289" s="239">
        <v>2911.2469048299085</v>
      </c>
      <c r="G289" s="239">
        <v>3164.525385550111</v>
      </c>
    </row>
    <row r="290" spans="1:7" x14ac:dyDescent="0.25">
      <c r="A290" s="130">
        <v>15050</v>
      </c>
      <c r="B290" s="239">
        <v>1443.9019085235725</v>
      </c>
      <c r="C290" s="239">
        <v>2051.4937751217271</v>
      </c>
      <c r="D290" s="239">
        <v>2373.189083831985</v>
      </c>
      <c r="E290" s="239">
        <v>2650.8522066403275</v>
      </c>
      <c r="F290" s="239">
        <v>2915.9374273043604</v>
      </c>
      <c r="G290" s="239">
        <v>3169.6239834798398</v>
      </c>
    </row>
    <row r="291" spans="1:7" x14ac:dyDescent="0.25">
      <c r="A291" s="129">
        <v>15100</v>
      </c>
      <c r="B291" s="239">
        <v>1446.4474381908524</v>
      </c>
      <c r="C291" s="239">
        <v>2054.9332962168273</v>
      </c>
      <c r="D291" s="239">
        <v>2377.0065514599264</v>
      </c>
      <c r="E291" s="239">
        <v>2655.1163179807381</v>
      </c>
      <c r="F291" s="239">
        <v>2920.6279497788128</v>
      </c>
      <c r="G291" s="239">
        <v>3174.7225814095691</v>
      </c>
    </row>
    <row r="292" spans="1:7" x14ac:dyDescent="0.25">
      <c r="A292" s="129">
        <v>15150</v>
      </c>
      <c r="B292" s="239">
        <v>1448.9929678581325</v>
      </c>
      <c r="C292" s="239">
        <v>2058.372817311928</v>
      </c>
      <c r="D292" s="239">
        <v>2380.8240190878682</v>
      </c>
      <c r="E292" s="239">
        <v>2659.3804293211492</v>
      </c>
      <c r="F292" s="239">
        <v>2925.3184722532646</v>
      </c>
      <c r="G292" s="239">
        <v>3179.8211793392984</v>
      </c>
    </row>
    <row r="293" spans="1:7" x14ac:dyDescent="0.25">
      <c r="A293" s="129">
        <v>15200</v>
      </c>
      <c r="B293" s="239">
        <v>1451.5384975254126</v>
      </c>
      <c r="C293" s="239">
        <v>2061.8123384070282</v>
      </c>
      <c r="D293" s="239">
        <v>2384.6414867158101</v>
      </c>
      <c r="E293" s="239">
        <v>2663.6445406615599</v>
      </c>
      <c r="F293" s="239">
        <v>2930.0089947277165</v>
      </c>
      <c r="G293" s="239">
        <v>3184.9197772690277</v>
      </c>
    </row>
    <row r="294" spans="1:7" x14ac:dyDescent="0.25">
      <c r="A294" s="129">
        <v>15250</v>
      </c>
      <c r="B294" s="239">
        <v>1454.0840271926929</v>
      </c>
      <c r="C294" s="239">
        <v>2065.2518595021293</v>
      </c>
      <c r="D294" s="239">
        <v>2388.4589543437523</v>
      </c>
      <c r="E294" s="239">
        <v>2667.9086520019714</v>
      </c>
      <c r="F294" s="239">
        <v>2934.6995172021689</v>
      </c>
      <c r="G294" s="239">
        <v>3190.0183751987579</v>
      </c>
    </row>
    <row r="295" spans="1:7" x14ac:dyDescent="0.25">
      <c r="A295" s="129">
        <v>15300</v>
      </c>
      <c r="B295" s="239">
        <v>1456.6295568599728</v>
      </c>
      <c r="C295" s="239">
        <v>2068.6913805972295</v>
      </c>
      <c r="D295" s="239">
        <v>2392.2764219716937</v>
      </c>
      <c r="E295" s="239">
        <v>2672.1727633423825</v>
      </c>
      <c r="F295" s="239">
        <v>2939.3900396766212</v>
      </c>
      <c r="G295" s="239">
        <v>3195.1169731284872</v>
      </c>
    </row>
    <row r="296" spans="1:7" x14ac:dyDescent="0.25">
      <c r="A296" s="129">
        <v>15350</v>
      </c>
      <c r="B296" s="239">
        <v>1459.1750865272529</v>
      </c>
      <c r="C296" s="239">
        <v>2072.1309016923301</v>
      </c>
      <c r="D296" s="239">
        <v>2396.0938895996355</v>
      </c>
      <c r="E296" s="239">
        <v>2676.4368746827931</v>
      </c>
      <c r="F296" s="239">
        <v>2944.0805621510731</v>
      </c>
      <c r="G296" s="239">
        <v>3200.2155710582165</v>
      </c>
    </row>
    <row r="297" spans="1:7" x14ac:dyDescent="0.25">
      <c r="A297" s="129">
        <v>15400</v>
      </c>
      <c r="B297" s="239">
        <v>1461.720616194533</v>
      </c>
      <c r="C297" s="239">
        <v>2075.5704227874303</v>
      </c>
      <c r="D297" s="239">
        <v>2399.9113572275774</v>
      </c>
      <c r="E297" s="239">
        <v>2680.7009860232042</v>
      </c>
      <c r="F297" s="239">
        <v>2948.771084625525</v>
      </c>
      <c r="G297" s="239">
        <v>3205.3141689879458</v>
      </c>
    </row>
    <row r="298" spans="1:7" x14ac:dyDescent="0.25">
      <c r="A298" s="129">
        <v>15450</v>
      </c>
      <c r="B298" s="239">
        <v>1464.2661458618129</v>
      </c>
      <c r="C298" s="239">
        <v>2079.0099438825309</v>
      </c>
      <c r="D298" s="239">
        <v>2403.7288248555187</v>
      </c>
      <c r="E298" s="239">
        <v>2684.9650973636149</v>
      </c>
      <c r="F298" s="239">
        <v>2953.4616070999768</v>
      </c>
      <c r="G298" s="239">
        <v>3210.4127669176751</v>
      </c>
    </row>
    <row r="299" spans="1:7" x14ac:dyDescent="0.25">
      <c r="A299" s="129">
        <v>15500</v>
      </c>
      <c r="B299" s="239">
        <v>1466.8116755290932</v>
      </c>
      <c r="C299" s="239">
        <v>2082.4494649776316</v>
      </c>
      <c r="D299" s="239">
        <v>2407.546292483461</v>
      </c>
      <c r="E299" s="239">
        <v>2689.229208704026</v>
      </c>
      <c r="F299" s="239">
        <v>2958.1521295744292</v>
      </c>
      <c r="G299" s="239">
        <v>3215.5113648474044</v>
      </c>
    </row>
    <row r="300" spans="1:7" x14ac:dyDescent="0.25">
      <c r="A300" s="129">
        <v>15550</v>
      </c>
      <c r="B300" s="239">
        <v>1469.3572051963731</v>
      </c>
      <c r="C300" s="239">
        <v>2085.8889860727318</v>
      </c>
      <c r="D300" s="239">
        <v>2411.3637601114024</v>
      </c>
      <c r="E300" s="239">
        <v>2693.493320044437</v>
      </c>
      <c r="F300" s="239">
        <v>2962.8426520488811</v>
      </c>
      <c r="G300" s="239">
        <v>3220.6099627771337</v>
      </c>
    </row>
    <row r="301" spans="1:7" x14ac:dyDescent="0.25">
      <c r="A301" s="129">
        <v>15600</v>
      </c>
      <c r="B301" s="239">
        <v>1471.9027348636532</v>
      </c>
      <c r="C301" s="239">
        <v>2089.328507167832</v>
      </c>
      <c r="D301" s="239">
        <v>2415.1812277393442</v>
      </c>
      <c r="E301" s="239">
        <v>2697.7574313848477</v>
      </c>
      <c r="F301" s="239">
        <v>2967.5331745233329</v>
      </c>
      <c r="G301" s="239">
        <v>3225.708560706863</v>
      </c>
    </row>
    <row r="302" spans="1:7" x14ac:dyDescent="0.25">
      <c r="A302" s="129">
        <v>15650</v>
      </c>
      <c r="B302" s="239">
        <v>1474.4482645309333</v>
      </c>
      <c r="C302" s="239">
        <v>2092.7680282629326</v>
      </c>
      <c r="D302" s="239">
        <v>2418.998695367286</v>
      </c>
      <c r="E302" s="239">
        <v>2702.0215427252588</v>
      </c>
      <c r="F302" s="239">
        <v>2972.2236969977853</v>
      </c>
      <c r="G302" s="239">
        <v>3230.8071586365927</v>
      </c>
    </row>
    <row r="303" spans="1:7" x14ac:dyDescent="0.25">
      <c r="A303" s="129">
        <v>15700</v>
      </c>
      <c r="B303" s="239">
        <v>1476.9937941982134</v>
      </c>
      <c r="C303" s="239">
        <v>2096.2075493580332</v>
      </c>
      <c r="D303" s="239">
        <v>2422.8161629952278</v>
      </c>
      <c r="E303" s="239">
        <v>2706.2856540656699</v>
      </c>
      <c r="F303" s="239">
        <v>2976.9142194722372</v>
      </c>
      <c r="G303" s="239">
        <v>3235.905756566322</v>
      </c>
    </row>
    <row r="304" spans="1:7" x14ac:dyDescent="0.25">
      <c r="A304" s="129">
        <v>15750</v>
      </c>
      <c r="B304" s="239">
        <v>1479.5393238654935</v>
      </c>
      <c r="C304" s="239">
        <v>2099.6470704531334</v>
      </c>
      <c r="D304" s="239">
        <v>2426.6336306231697</v>
      </c>
      <c r="E304" s="239">
        <v>2710.5497654060805</v>
      </c>
      <c r="F304" s="239">
        <v>2981.604741946689</v>
      </c>
      <c r="G304" s="239">
        <v>3241.0043544960513</v>
      </c>
    </row>
    <row r="305" spans="1:7" x14ac:dyDescent="0.25">
      <c r="A305" s="129">
        <v>15800</v>
      </c>
      <c r="B305" s="239">
        <v>1482.0848535327734</v>
      </c>
      <c r="C305" s="239">
        <v>2103.0865915482341</v>
      </c>
      <c r="D305" s="239">
        <v>2430.451098251111</v>
      </c>
      <c r="E305" s="239">
        <v>2714.8138767464916</v>
      </c>
      <c r="F305" s="239">
        <v>2986.2952644211414</v>
      </c>
      <c r="G305" s="239">
        <v>3246.1029524257806</v>
      </c>
    </row>
    <row r="306" spans="1:7" x14ac:dyDescent="0.25">
      <c r="A306" s="129">
        <v>15850</v>
      </c>
      <c r="B306" s="239">
        <v>1484.6303832000535</v>
      </c>
      <c r="C306" s="239">
        <v>2106.5261126433347</v>
      </c>
      <c r="D306" s="239">
        <v>2434.2685658790533</v>
      </c>
      <c r="E306" s="239">
        <v>2719.0779880869027</v>
      </c>
      <c r="F306" s="239">
        <v>2990.9857868955933</v>
      </c>
      <c r="G306" s="239">
        <v>3251.2015503555099</v>
      </c>
    </row>
    <row r="307" spans="1:7" x14ac:dyDescent="0.25">
      <c r="A307" s="129">
        <v>15900</v>
      </c>
      <c r="B307" s="239">
        <v>1487.1759128673339</v>
      </c>
      <c r="C307" s="239">
        <v>2109.9656337384354</v>
      </c>
      <c r="D307" s="239">
        <v>2438.0860335069951</v>
      </c>
      <c r="E307" s="239">
        <v>2723.3420994273138</v>
      </c>
      <c r="F307" s="239">
        <v>2995.6763093700456</v>
      </c>
      <c r="G307" s="239">
        <v>3256.3001482852396</v>
      </c>
    </row>
    <row r="308" spans="1:7" x14ac:dyDescent="0.25">
      <c r="A308" s="129">
        <v>15950</v>
      </c>
      <c r="B308" s="239">
        <v>1489.7214425346137</v>
      </c>
      <c r="C308" s="239">
        <v>2113.4051548335356</v>
      </c>
      <c r="D308" s="239">
        <v>2441.903501134937</v>
      </c>
      <c r="E308" s="239">
        <v>2727.6062107677249</v>
      </c>
      <c r="F308" s="239">
        <v>3000.3668318444975</v>
      </c>
      <c r="G308" s="239">
        <v>3261.3987462149689</v>
      </c>
    </row>
    <row r="309" spans="1:7" x14ac:dyDescent="0.25">
      <c r="A309" s="129">
        <v>16000</v>
      </c>
      <c r="B309" s="239">
        <v>1492.2669722018939</v>
      </c>
      <c r="C309" s="239">
        <v>2116.8446759286362</v>
      </c>
      <c r="D309" s="239">
        <v>2445.7209687628783</v>
      </c>
      <c r="E309" s="239">
        <v>2731.8703221081355</v>
      </c>
      <c r="F309" s="239">
        <v>3005.0573543189494</v>
      </c>
      <c r="G309" s="239">
        <v>3266.4973441446982</v>
      </c>
    </row>
    <row r="310" spans="1:7" x14ac:dyDescent="0.25">
      <c r="A310" s="129">
        <v>16050</v>
      </c>
      <c r="B310" s="239">
        <v>1494.812501869174</v>
      </c>
      <c r="C310" s="239">
        <v>2120.2841970237364</v>
      </c>
      <c r="D310" s="239">
        <v>2449.5384363908202</v>
      </c>
      <c r="E310" s="239">
        <v>2736.1344334485466</v>
      </c>
      <c r="F310" s="239">
        <v>3009.7478767934017</v>
      </c>
      <c r="G310" s="239">
        <v>3271.5959420744275</v>
      </c>
    </row>
    <row r="311" spans="1:7" x14ac:dyDescent="0.25">
      <c r="A311" s="129">
        <v>16100</v>
      </c>
      <c r="B311" s="239">
        <v>1497.3580315364538</v>
      </c>
      <c r="C311" s="239">
        <v>2123.7237181188366</v>
      </c>
      <c r="D311" s="239">
        <v>2453.355904018762</v>
      </c>
      <c r="E311" s="239">
        <v>2740.3985447889572</v>
      </c>
      <c r="F311" s="239">
        <v>3014.4383992678536</v>
      </c>
      <c r="G311" s="239">
        <v>3276.6945400041568</v>
      </c>
    </row>
    <row r="312" spans="1:7" x14ac:dyDescent="0.25">
      <c r="A312" s="129">
        <v>16150</v>
      </c>
      <c r="B312" s="239">
        <v>1499.9035612037342</v>
      </c>
      <c r="C312" s="239">
        <v>2127.1632392139372</v>
      </c>
      <c r="D312" s="239">
        <v>2457.1733716467038</v>
      </c>
      <c r="E312" s="239">
        <v>2744.6626561293683</v>
      </c>
      <c r="F312" s="239">
        <v>3019.1289217423059</v>
      </c>
      <c r="G312" s="239">
        <v>3281.7931379338866</v>
      </c>
    </row>
    <row r="313" spans="1:7" x14ac:dyDescent="0.25">
      <c r="A313" s="129">
        <v>16200</v>
      </c>
      <c r="B313" s="239">
        <v>1502.4490908710141</v>
      </c>
      <c r="C313" s="239">
        <v>2130.6027603090379</v>
      </c>
      <c r="D313" s="239">
        <v>2460.9908392746456</v>
      </c>
      <c r="E313" s="239">
        <v>2748.9267674697794</v>
      </c>
      <c r="F313" s="239">
        <v>3023.8194442167578</v>
      </c>
      <c r="G313" s="239">
        <v>3286.8917358636154</v>
      </c>
    </row>
    <row r="314" spans="1:7" x14ac:dyDescent="0.25">
      <c r="A314" s="129">
        <v>16250</v>
      </c>
      <c r="B314" s="239">
        <v>1504.9946205382944</v>
      </c>
      <c r="C314" s="239">
        <v>2134.0422814041385</v>
      </c>
      <c r="D314" s="239">
        <v>2464.8083069025874</v>
      </c>
      <c r="E314" s="239">
        <v>2753.1908788101905</v>
      </c>
      <c r="F314" s="239">
        <v>3028.5099666912101</v>
      </c>
      <c r="G314" s="239">
        <v>3291.9903337933451</v>
      </c>
    </row>
    <row r="315" spans="1:7" x14ac:dyDescent="0.25">
      <c r="A315" s="129">
        <v>16300</v>
      </c>
      <c r="B315" s="239">
        <v>1507.5437899276703</v>
      </c>
      <c r="C315" s="239">
        <v>2137.4894380915684</v>
      </c>
      <c r="D315" s="239">
        <v>2468.6367397604758</v>
      </c>
      <c r="E315" s="239">
        <v>2757.4672383124516</v>
      </c>
      <c r="F315" s="239">
        <v>3033.2139621436968</v>
      </c>
      <c r="G315" s="239">
        <v>3297.1035768501984</v>
      </c>
    </row>
    <row r="316" spans="1:7" x14ac:dyDescent="0.25">
      <c r="A316" s="129">
        <v>16350</v>
      </c>
      <c r="B316" s="239">
        <v>1510.3580075940101</v>
      </c>
      <c r="C316" s="239">
        <v>2141.4926264037031</v>
      </c>
      <c r="D316" s="239">
        <v>2473.2636718518847</v>
      </c>
      <c r="E316" s="239">
        <v>2762.6355214585551</v>
      </c>
      <c r="F316" s="239">
        <v>3038.8990736044107</v>
      </c>
      <c r="G316" s="239">
        <v>3303.2832930079944</v>
      </c>
    </row>
    <row r="317" spans="1:7" x14ac:dyDescent="0.25">
      <c r="A317" s="129">
        <v>16400</v>
      </c>
      <c r="B317" s="239">
        <v>1513.1722252603502</v>
      </c>
      <c r="C317" s="239">
        <v>2145.4958147158377</v>
      </c>
      <c r="D317" s="239">
        <v>2477.8906039432932</v>
      </c>
      <c r="E317" s="239">
        <v>2767.803804604659</v>
      </c>
      <c r="F317" s="239">
        <v>3044.5841850651245</v>
      </c>
      <c r="G317" s="239">
        <v>3309.4630091657905</v>
      </c>
    </row>
    <row r="318" spans="1:7" x14ac:dyDescent="0.25">
      <c r="A318" s="129">
        <v>16450</v>
      </c>
      <c r="B318" s="239">
        <v>1515.98644292669</v>
      </c>
      <c r="C318" s="239">
        <v>2149.4990030279723</v>
      </c>
      <c r="D318" s="239">
        <v>2482.5175360347021</v>
      </c>
      <c r="E318" s="239">
        <v>2772.9720877507625</v>
      </c>
      <c r="F318" s="239">
        <v>3050.2692965258389</v>
      </c>
      <c r="G318" s="239">
        <v>3315.6427253235865</v>
      </c>
    </row>
    <row r="319" spans="1:7" x14ac:dyDescent="0.25">
      <c r="A319" s="129">
        <v>16500</v>
      </c>
      <c r="B319" s="239">
        <v>1518.8006605930302</v>
      </c>
      <c r="C319" s="239">
        <v>2153.5021913401074</v>
      </c>
      <c r="D319" s="239">
        <v>2487.1444681261114</v>
      </c>
      <c r="E319" s="239">
        <v>2778.1403708968669</v>
      </c>
      <c r="F319" s="239">
        <v>3055.9544079865536</v>
      </c>
      <c r="G319" s="239">
        <v>3321.8224414813835</v>
      </c>
    </row>
    <row r="320" spans="1:7" x14ac:dyDescent="0.25">
      <c r="A320" s="129">
        <v>16550</v>
      </c>
      <c r="B320" s="239">
        <v>1521.61487825937</v>
      </c>
      <c r="C320" s="239">
        <v>2157.505379652242</v>
      </c>
      <c r="D320" s="239">
        <v>2491.7714002175203</v>
      </c>
      <c r="E320" s="239">
        <v>2783.3086540429704</v>
      </c>
      <c r="F320" s="239">
        <v>3061.6395194472675</v>
      </c>
      <c r="G320" s="239">
        <v>3328.0021576391796</v>
      </c>
    </row>
    <row r="321" spans="1:7" x14ac:dyDescent="0.25">
      <c r="A321" s="129">
        <v>16600</v>
      </c>
      <c r="B321" s="239">
        <v>1524.42909592571</v>
      </c>
      <c r="C321" s="239">
        <v>2161.5085679643767</v>
      </c>
      <c r="D321" s="239">
        <v>2496.3983323089292</v>
      </c>
      <c r="E321" s="239">
        <v>2788.4769371890739</v>
      </c>
      <c r="F321" s="239">
        <v>3067.3246309079814</v>
      </c>
      <c r="G321" s="239">
        <v>3334.1818737969757</v>
      </c>
    </row>
    <row r="322" spans="1:7" x14ac:dyDescent="0.25">
      <c r="A322" s="129">
        <v>16650</v>
      </c>
      <c r="B322" s="239">
        <v>1527.2433135920498</v>
      </c>
      <c r="C322" s="239">
        <v>2165.5117562765113</v>
      </c>
      <c r="D322" s="239">
        <v>2501.0252644003381</v>
      </c>
      <c r="E322" s="239">
        <v>2793.6452203351778</v>
      </c>
      <c r="F322" s="239">
        <v>3073.0097423686952</v>
      </c>
      <c r="G322" s="239">
        <v>3340.3615899547717</v>
      </c>
    </row>
    <row r="323" spans="1:7" x14ac:dyDescent="0.25">
      <c r="A323" s="129">
        <v>16700</v>
      </c>
      <c r="B323" s="239">
        <v>1530.0575312583899</v>
      </c>
      <c r="C323" s="239">
        <v>2169.5149445886459</v>
      </c>
      <c r="D323" s="239">
        <v>2505.652196491747</v>
      </c>
      <c r="E323" s="239">
        <v>2798.8135034812813</v>
      </c>
      <c r="F323" s="239">
        <v>3078.6948538294096</v>
      </c>
      <c r="G323" s="239">
        <v>3346.5413061125682</v>
      </c>
    </row>
    <row r="324" spans="1:7" x14ac:dyDescent="0.25">
      <c r="A324" s="129">
        <v>16750</v>
      </c>
      <c r="B324" s="239">
        <v>1532.8717489247299</v>
      </c>
      <c r="C324" s="239">
        <v>2173.5181329007805</v>
      </c>
      <c r="D324" s="239">
        <v>2510.2791285831559</v>
      </c>
      <c r="E324" s="239">
        <v>2803.9817866273852</v>
      </c>
      <c r="F324" s="239">
        <v>3084.3799652901239</v>
      </c>
      <c r="G324" s="239">
        <v>3352.7210222703648</v>
      </c>
    </row>
    <row r="325" spans="1:7" x14ac:dyDescent="0.25">
      <c r="A325" s="129">
        <v>16800</v>
      </c>
      <c r="B325" s="239">
        <v>1535.6859665910699</v>
      </c>
      <c r="C325" s="239">
        <v>2177.5213212129156</v>
      </c>
      <c r="D325" s="239">
        <v>2514.9060606745647</v>
      </c>
      <c r="E325" s="239">
        <v>2809.1500697734891</v>
      </c>
      <c r="F325" s="239">
        <v>3090.0650767508382</v>
      </c>
      <c r="G325" s="239">
        <v>3358.9007384281608</v>
      </c>
    </row>
    <row r="326" spans="1:7" x14ac:dyDescent="0.25">
      <c r="A326" s="129">
        <v>16850</v>
      </c>
      <c r="B326" s="239">
        <v>1538.5001842574097</v>
      </c>
      <c r="C326" s="239">
        <v>2181.5245095250502</v>
      </c>
      <c r="D326" s="239">
        <v>2519.5329927659736</v>
      </c>
      <c r="E326" s="239">
        <v>2814.3183529195931</v>
      </c>
      <c r="F326" s="239">
        <v>3095.7501882115521</v>
      </c>
      <c r="G326" s="239">
        <v>3365.0804545859573</v>
      </c>
    </row>
    <row r="327" spans="1:7" x14ac:dyDescent="0.25">
      <c r="A327" s="129">
        <v>16900</v>
      </c>
      <c r="B327" s="239">
        <v>1541.3144019237498</v>
      </c>
      <c r="C327" s="239">
        <v>2185.5276978371849</v>
      </c>
      <c r="D327" s="239">
        <v>2524.1599248573825</v>
      </c>
      <c r="E327" s="239">
        <v>2819.4866360656965</v>
      </c>
      <c r="F327" s="239">
        <v>3101.435299672266</v>
      </c>
      <c r="G327" s="239">
        <v>3371.2601707437534</v>
      </c>
    </row>
    <row r="328" spans="1:7" x14ac:dyDescent="0.25">
      <c r="A328" s="129">
        <v>16950</v>
      </c>
      <c r="B328" s="239">
        <v>1544.1286195900896</v>
      </c>
      <c r="C328" s="239">
        <v>2189.5308861493195</v>
      </c>
      <c r="D328" s="239">
        <v>2528.7868569487914</v>
      </c>
      <c r="E328" s="239">
        <v>2824.6549192118</v>
      </c>
      <c r="F328" s="239">
        <v>3107.1204111329803</v>
      </c>
      <c r="G328" s="239">
        <v>3377.4398869015495</v>
      </c>
    </row>
    <row r="329" spans="1:7" x14ac:dyDescent="0.25">
      <c r="A329" s="129">
        <v>17000</v>
      </c>
      <c r="B329" s="239">
        <v>1546.9428372564298</v>
      </c>
      <c r="C329" s="239">
        <v>2193.5340744614541</v>
      </c>
      <c r="D329" s="239">
        <v>2533.4137890402003</v>
      </c>
      <c r="E329" s="239">
        <v>2829.8232023579039</v>
      </c>
      <c r="F329" s="239">
        <v>3112.8055225936946</v>
      </c>
      <c r="G329" s="239">
        <v>3383.619603059346</v>
      </c>
    </row>
    <row r="330" spans="1:7" x14ac:dyDescent="0.25">
      <c r="A330" s="129">
        <v>17050</v>
      </c>
      <c r="B330" s="239">
        <v>1549.7570549227696</v>
      </c>
      <c r="C330" s="239">
        <v>2197.5372627735887</v>
      </c>
      <c r="D330" s="239">
        <v>2538.0407211316092</v>
      </c>
      <c r="E330" s="239">
        <v>2834.9914855040079</v>
      </c>
      <c r="F330" s="239">
        <v>3118.4906340544085</v>
      </c>
      <c r="G330" s="239">
        <v>3389.7993192171421</v>
      </c>
    </row>
    <row r="331" spans="1:7" x14ac:dyDescent="0.25">
      <c r="A331" s="129">
        <v>17100</v>
      </c>
      <c r="B331" s="239">
        <v>1552.5712725891094</v>
      </c>
      <c r="C331" s="239">
        <v>2201.5404510857234</v>
      </c>
      <c r="D331" s="239">
        <v>2542.6676532230181</v>
      </c>
      <c r="E331" s="239">
        <v>2840.1597686501113</v>
      </c>
      <c r="F331" s="239">
        <v>3124.1757455151223</v>
      </c>
      <c r="G331" s="239">
        <v>3395.9790353749381</v>
      </c>
    </row>
    <row r="332" spans="1:7" x14ac:dyDescent="0.25">
      <c r="A332" s="129">
        <v>17150</v>
      </c>
      <c r="B332" s="239">
        <v>1555.3854902554494</v>
      </c>
      <c r="C332" s="239">
        <v>2205.5436393978584</v>
      </c>
      <c r="D332" s="239">
        <v>2547.294585314427</v>
      </c>
      <c r="E332" s="239">
        <v>2845.3280517962153</v>
      </c>
      <c r="F332" s="239">
        <v>3129.8608569758367</v>
      </c>
      <c r="G332" s="239">
        <v>3402.1587515327346</v>
      </c>
    </row>
    <row r="333" spans="1:7" x14ac:dyDescent="0.25">
      <c r="A333" s="129">
        <v>17200</v>
      </c>
      <c r="B333" s="239">
        <v>1558.1997079217895</v>
      </c>
      <c r="C333" s="239">
        <v>2209.5468277099931</v>
      </c>
      <c r="D333" s="239">
        <v>2551.9215174058359</v>
      </c>
      <c r="E333" s="239">
        <v>2850.4963349423188</v>
      </c>
      <c r="F333" s="239">
        <v>3135.5459684365505</v>
      </c>
      <c r="G333" s="239">
        <v>3408.3384676905307</v>
      </c>
    </row>
    <row r="334" spans="1:7" x14ac:dyDescent="0.25">
      <c r="A334" s="129">
        <v>17250</v>
      </c>
      <c r="B334" s="239">
        <v>1561.0139255881293</v>
      </c>
      <c r="C334" s="239">
        <v>2213.5500160221277</v>
      </c>
      <c r="D334" s="239">
        <v>2556.5484494972447</v>
      </c>
      <c r="E334" s="239">
        <v>2855.6646180884227</v>
      </c>
      <c r="F334" s="239">
        <v>3141.2310798972649</v>
      </c>
      <c r="G334" s="239">
        <v>3414.5181838483268</v>
      </c>
    </row>
    <row r="335" spans="1:7" x14ac:dyDescent="0.25">
      <c r="A335" s="129">
        <v>17300</v>
      </c>
      <c r="B335" s="239">
        <v>1563.8281432544693</v>
      </c>
      <c r="C335" s="239">
        <v>2217.5532043342623</v>
      </c>
      <c r="D335" s="239">
        <v>2561.1753815886536</v>
      </c>
      <c r="E335" s="239">
        <v>2860.8329012345262</v>
      </c>
      <c r="F335" s="239">
        <v>3146.9161913579787</v>
      </c>
      <c r="G335" s="239">
        <v>3420.6979000061228</v>
      </c>
    </row>
    <row r="336" spans="1:7" x14ac:dyDescent="0.25">
      <c r="A336" s="129">
        <v>17350</v>
      </c>
      <c r="B336" s="239">
        <v>1566.6423609208093</v>
      </c>
      <c r="C336" s="239">
        <v>2221.5563926463969</v>
      </c>
      <c r="D336" s="239">
        <v>2565.8023136800625</v>
      </c>
      <c r="E336" s="239">
        <v>2866.0011843806301</v>
      </c>
      <c r="F336" s="239">
        <v>3152.6013028186931</v>
      </c>
      <c r="G336" s="239">
        <v>3426.8776161639194</v>
      </c>
    </row>
    <row r="337" spans="1:7" x14ac:dyDescent="0.25">
      <c r="A337" s="129">
        <v>17400</v>
      </c>
      <c r="B337" s="239">
        <v>1569.4565785871494</v>
      </c>
      <c r="C337" s="239">
        <v>2225.559580958532</v>
      </c>
      <c r="D337" s="239">
        <v>2570.4292457714719</v>
      </c>
      <c r="E337" s="239">
        <v>2871.169467526734</v>
      </c>
      <c r="F337" s="239">
        <v>3158.2864142794074</v>
      </c>
      <c r="G337" s="239">
        <v>3433.0573323217159</v>
      </c>
    </row>
    <row r="338" spans="1:7" x14ac:dyDescent="0.25">
      <c r="A338" s="129">
        <v>17450</v>
      </c>
      <c r="B338" s="239">
        <v>1572.2707962534892</v>
      </c>
      <c r="C338" s="239">
        <v>2229.5627692706666</v>
      </c>
      <c r="D338" s="239">
        <v>2575.0561778628803</v>
      </c>
      <c r="E338" s="239">
        <v>2876.3377506728375</v>
      </c>
      <c r="F338" s="239">
        <v>3163.9715257401213</v>
      </c>
      <c r="G338" s="239">
        <v>3439.2370484795119</v>
      </c>
    </row>
    <row r="339" spans="1:7" x14ac:dyDescent="0.25">
      <c r="A339" s="129">
        <v>17500</v>
      </c>
      <c r="B339" s="239">
        <v>1575.0850139198292</v>
      </c>
      <c r="C339" s="239">
        <v>2233.5659575828013</v>
      </c>
      <c r="D339" s="239">
        <v>2579.6831099542892</v>
      </c>
      <c r="E339" s="239">
        <v>2881.5060338189414</v>
      </c>
      <c r="F339" s="239">
        <v>3169.6566372008356</v>
      </c>
      <c r="G339" s="239">
        <v>3445.416764637308</v>
      </c>
    </row>
    <row r="340" spans="1:7" x14ac:dyDescent="0.25">
      <c r="A340" s="129">
        <v>17550</v>
      </c>
      <c r="B340" s="239">
        <v>1577.899231586169</v>
      </c>
      <c r="C340" s="239">
        <v>2237.5691458949359</v>
      </c>
      <c r="D340" s="239">
        <v>2584.3100420456981</v>
      </c>
      <c r="E340" s="239">
        <v>2886.6743169650449</v>
      </c>
      <c r="F340" s="239">
        <v>3175.3417486615494</v>
      </c>
      <c r="G340" s="239">
        <v>3451.5964807951041</v>
      </c>
    </row>
    <row r="341" spans="1:7" x14ac:dyDescent="0.25">
      <c r="A341" s="129">
        <v>17600</v>
      </c>
      <c r="B341" s="239">
        <v>1580.713449252509</v>
      </c>
      <c r="C341" s="239">
        <v>2241.5723342070705</v>
      </c>
      <c r="D341" s="239">
        <v>2588.936974137107</v>
      </c>
      <c r="E341" s="239">
        <v>2891.8426001111484</v>
      </c>
      <c r="F341" s="239">
        <v>3181.0268601222633</v>
      </c>
      <c r="G341" s="239">
        <v>3457.7761969529001</v>
      </c>
    </row>
    <row r="342" spans="1:7" x14ac:dyDescent="0.25">
      <c r="A342" s="129">
        <v>17650</v>
      </c>
      <c r="B342" s="239">
        <v>1583.527666918849</v>
      </c>
      <c r="C342" s="239">
        <v>2245.5755225192052</v>
      </c>
      <c r="D342" s="239">
        <v>2593.5639062285159</v>
      </c>
      <c r="E342" s="239">
        <v>2897.0108832572528</v>
      </c>
      <c r="F342" s="239">
        <v>3186.7119715829776</v>
      </c>
      <c r="G342" s="239">
        <v>3463.9559131106967</v>
      </c>
    </row>
    <row r="343" spans="1:7" x14ac:dyDescent="0.25">
      <c r="A343" s="129">
        <v>17700</v>
      </c>
      <c r="B343" s="239">
        <v>1586.3418845851888</v>
      </c>
      <c r="C343" s="239">
        <v>2249.5787108313398</v>
      </c>
      <c r="D343" s="239">
        <v>2598.1908383199248</v>
      </c>
      <c r="E343" s="239">
        <v>2902.1791664033562</v>
      </c>
      <c r="F343" s="239">
        <v>3192.397083043692</v>
      </c>
      <c r="G343" s="239">
        <v>3470.1356292684932</v>
      </c>
    </row>
    <row r="344" spans="1:7" x14ac:dyDescent="0.25">
      <c r="A344" s="129">
        <v>17750</v>
      </c>
      <c r="B344" s="239">
        <v>1589.1561022515289</v>
      </c>
      <c r="C344" s="239">
        <v>2253.5818991434749</v>
      </c>
      <c r="D344" s="239">
        <v>2602.8177704113341</v>
      </c>
      <c r="E344" s="239">
        <v>2907.3474495494602</v>
      </c>
      <c r="F344" s="239">
        <v>3198.0821945044063</v>
      </c>
      <c r="G344" s="239">
        <v>3476.3153454262892</v>
      </c>
    </row>
    <row r="345" spans="1:7" x14ac:dyDescent="0.25">
      <c r="A345" s="129">
        <v>17800</v>
      </c>
      <c r="B345" s="239">
        <v>1591.9703199178689</v>
      </c>
      <c r="C345" s="239">
        <v>2257.5850874556095</v>
      </c>
      <c r="D345" s="239">
        <v>2607.4447025027425</v>
      </c>
      <c r="E345" s="239">
        <v>2912.5157326955637</v>
      </c>
      <c r="F345" s="239">
        <v>3203.7673059651202</v>
      </c>
      <c r="G345" s="239">
        <v>3482.4950615840858</v>
      </c>
    </row>
    <row r="346" spans="1:7" x14ac:dyDescent="0.25">
      <c r="A346" s="129">
        <v>17850</v>
      </c>
      <c r="B346" s="239">
        <v>1594.7845375842087</v>
      </c>
      <c r="C346" s="239">
        <v>2261.5882757677441</v>
      </c>
      <c r="D346" s="239">
        <v>2612.0716345941514</v>
      </c>
      <c r="E346" s="239">
        <v>2917.6840158416676</v>
      </c>
      <c r="F346" s="239">
        <v>3209.452417425834</v>
      </c>
      <c r="G346" s="239">
        <v>3488.6747777418818</v>
      </c>
    </row>
    <row r="347" spans="1:7" x14ac:dyDescent="0.25">
      <c r="A347" s="129">
        <v>17900</v>
      </c>
      <c r="B347" s="239">
        <v>1597.5987552505487</v>
      </c>
      <c r="C347" s="239">
        <v>2265.5914640798787</v>
      </c>
      <c r="D347" s="239">
        <v>2616.6985666855603</v>
      </c>
      <c r="E347" s="239">
        <v>2922.8522989877711</v>
      </c>
      <c r="F347" s="239">
        <v>3215.1375288865479</v>
      </c>
      <c r="G347" s="239">
        <v>3494.8544938996779</v>
      </c>
    </row>
    <row r="348" spans="1:7" x14ac:dyDescent="0.25">
      <c r="A348" s="129">
        <v>17950</v>
      </c>
      <c r="B348" s="239">
        <v>1600.4129729168885</v>
      </c>
      <c r="C348" s="239">
        <v>2269.5946523920134</v>
      </c>
      <c r="D348" s="239">
        <v>2621.3254987769692</v>
      </c>
      <c r="E348" s="239">
        <v>2928.0205821338745</v>
      </c>
      <c r="F348" s="239">
        <v>3220.8226403472622</v>
      </c>
      <c r="G348" s="239">
        <v>3501.034210057474</v>
      </c>
    </row>
    <row r="349" spans="1:7" x14ac:dyDescent="0.25">
      <c r="A349" s="129">
        <v>18000</v>
      </c>
      <c r="B349" s="239">
        <v>1603.2271905832288</v>
      </c>
      <c r="C349" s="239">
        <v>2273.5978407041484</v>
      </c>
      <c r="D349" s="239">
        <v>2625.9524308683785</v>
      </c>
      <c r="E349" s="239">
        <v>2933.1888652799789</v>
      </c>
      <c r="F349" s="239">
        <v>3226.507751807977</v>
      </c>
      <c r="G349" s="239">
        <v>3507.2139262152709</v>
      </c>
    </row>
    <row r="350" spans="1:7" x14ac:dyDescent="0.25">
      <c r="A350" s="129">
        <v>18050</v>
      </c>
      <c r="B350" s="239">
        <v>1606.0414082495686</v>
      </c>
      <c r="C350" s="239">
        <v>2277.6010290162831</v>
      </c>
      <c r="D350" s="239">
        <v>2630.5793629597874</v>
      </c>
      <c r="E350" s="239">
        <v>2938.3571484260824</v>
      </c>
      <c r="F350" s="239">
        <v>3232.1928632686909</v>
      </c>
      <c r="G350" s="239">
        <v>3513.393642373067</v>
      </c>
    </row>
    <row r="351" spans="1:7" x14ac:dyDescent="0.25">
      <c r="A351" s="129">
        <v>18100</v>
      </c>
      <c r="B351" s="239">
        <v>1608.8556259159086</v>
      </c>
      <c r="C351" s="239">
        <v>2281.6042173284177</v>
      </c>
      <c r="D351" s="239">
        <v>2635.2062950511959</v>
      </c>
      <c r="E351" s="239">
        <v>2943.5254315721863</v>
      </c>
      <c r="F351" s="239">
        <v>3237.8779747294047</v>
      </c>
      <c r="G351" s="239">
        <v>3519.5733585308631</v>
      </c>
    </row>
    <row r="352" spans="1:7" x14ac:dyDescent="0.25">
      <c r="A352" s="129">
        <v>18150</v>
      </c>
      <c r="B352" s="239">
        <v>1611.6698435822484</v>
      </c>
      <c r="C352" s="239">
        <v>2285.6074056405523</v>
      </c>
      <c r="D352" s="239">
        <v>2639.8332271426048</v>
      </c>
      <c r="E352" s="239">
        <v>2948.6937147182898</v>
      </c>
      <c r="F352" s="239">
        <v>3243.5630861901186</v>
      </c>
      <c r="G352" s="239">
        <v>3525.7530746886591</v>
      </c>
    </row>
    <row r="353" spans="1:7" x14ac:dyDescent="0.25">
      <c r="A353" s="129">
        <v>18200</v>
      </c>
      <c r="B353" s="239">
        <v>1614.4840612485884</v>
      </c>
      <c r="C353" s="239">
        <v>2289.6105939526869</v>
      </c>
      <c r="D353" s="239">
        <v>2644.4601592340136</v>
      </c>
      <c r="E353" s="239">
        <v>2953.8619978643933</v>
      </c>
      <c r="F353" s="239">
        <v>3249.2481976508329</v>
      </c>
      <c r="G353" s="239">
        <v>3531.9327908464552</v>
      </c>
    </row>
    <row r="354" spans="1:7" x14ac:dyDescent="0.25">
      <c r="A354" s="129">
        <v>18250</v>
      </c>
      <c r="B354" s="239">
        <v>1617.2982789149285</v>
      </c>
      <c r="C354" s="239">
        <v>2293.6137822648216</v>
      </c>
      <c r="D354" s="239">
        <v>2649.087091325423</v>
      </c>
      <c r="E354" s="239">
        <v>2959.0302810104972</v>
      </c>
      <c r="F354" s="239">
        <v>3254.9333091115473</v>
      </c>
      <c r="G354" s="239">
        <v>3538.1125070042517</v>
      </c>
    </row>
    <row r="355" spans="1:7" x14ac:dyDescent="0.25">
      <c r="A355" s="129">
        <v>18300</v>
      </c>
      <c r="B355" s="239">
        <v>1620.1124965812683</v>
      </c>
      <c r="C355" s="239">
        <v>2297.6169705769562</v>
      </c>
      <c r="D355" s="239">
        <v>2653.7140234168314</v>
      </c>
      <c r="E355" s="239">
        <v>2964.1985641566012</v>
      </c>
      <c r="F355" s="239">
        <v>3260.6184205722611</v>
      </c>
      <c r="G355" s="239">
        <v>3544.2922231620478</v>
      </c>
    </row>
    <row r="356" spans="1:7" x14ac:dyDescent="0.25">
      <c r="A356" s="129">
        <v>18350</v>
      </c>
      <c r="B356" s="239">
        <v>1622.9267142476083</v>
      </c>
      <c r="C356" s="239">
        <v>2301.6201588890908</v>
      </c>
      <c r="D356" s="239">
        <v>2658.3409555082403</v>
      </c>
      <c r="E356" s="239">
        <v>2969.3668473027046</v>
      </c>
      <c r="F356" s="239">
        <v>3266.303532032975</v>
      </c>
      <c r="G356" s="239">
        <v>3550.4719393198438</v>
      </c>
    </row>
    <row r="357" spans="1:7" x14ac:dyDescent="0.25">
      <c r="A357" s="129">
        <v>18400</v>
      </c>
      <c r="B357" s="239">
        <v>1625.7409319139483</v>
      </c>
      <c r="C357" s="239">
        <v>2305.6233472012259</v>
      </c>
      <c r="D357" s="239">
        <v>2662.9678875996497</v>
      </c>
      <c r="E357" s="239">
        <v>2974.5351304488099</v>
      </c>
      <c r="F357" s="239">
        <v>3271.9886434936893</v>
      </c>
      <c r="G357" s="239">
        <v>3556.6516554776404</v>
      </c>
    </row>
    <row r="358" spans="1:7" x14ac:dyDescent="0.25">
      <c r="A358" s="129">
        <v>18450</v>
      </c>
      <c r="B358" s="239">
        <v>1628.5551495802881</v>
      </c>
      <c r="C358" s="239">
        <v>2309.6265355133605</v>
      </c>
      <c r="D358" s="239">
        <v>2667.5948196910581</v>
      </c>
      <c r="E358" s="239">
        <v>2979.7034135949125</v>
      </c>
      <c r="F358" s="239">
        <v>3277.6737549544036</v>
      </c>
      <c r="G358" s="239">
        <v>3562.8313716354364</v>
      </c>
    </row>
    <row r="359" spans="1:7" x14ac:dyDescent="0.25">
      <c r="A359" s="129">
        <v>18500</v>
      </c>
      <c r="B359" s="239">
        <v>1631.3693672466281</v>
      </c>
      <c r="C359" s="239">
        <v>2313.6297238254951</v>
      </c>
      <c r="D359" s="239">
        <v>2672.221751782467</v>
      </c>
      <c r="E359" s="239">
        <v>2984.871696741016</v>
      </c>
      <c r="F359" s="239">
        <v>3283.3588664151175</v>
      </c>
      <c r="G359" s="239">
        <v>3569.0110877932329</v>
      </c>
    </row>
    <row r="360" spans="1:7" x14ac:dyDescent="0.25">
      <c r="A360" s="129">
        <v>18550</v>
      </c>
      <c r="B360" s="239">
        <v>1634.1835849129679</v>
      </c>
      <c r="C360" s="239">
        <v>2317.6329121376298</v>
      </c>
      <c r="D360" s="239">
        <v>2676.8486838738759</v>
      </c>
      <c r="E360" s="239">
        <v>2990.0399798871194</v>
      </c>
      <c r="F360" s="239">
        <v>3289.0439778758314</v>
      </c>
      <c r="G360" s="239">
        <v>3575.190803951029</v>
      </c>
    </row>
    <row r="361" spans="1:7" x14ac:dyDescent="0.25">
      <c r="A361" s="129">
        <v>18600</v>
      </c>
      <c r="B361" s="239">
        <v>1636.997802579308</v>
      </c>
      <c r="C361" s="239">
        <v>2321.6361004497644</v>
      </c>
      <c r="D361" s="239">
        <v>2681.4756159652848</v>
      </c>
      <c r="E361" s="239">
        <v>2995.2082630332234</v>
      </c>
      <c r="F361" s="239">
        <v>3294.7290893365457</v>
      </c>
      <c r="G361" s="239">
        <v>3581.3705201088251</v>
      </c>
    </row>
    <row r="362" spans="1:7" x14ac:dyDescent="0.25">
      <c r="A362" s="129">
        <v>18650</v>
      </c>
      <c r="B362" s="239">
        <v>1639.812020245648</v>
      </c>
      <c r="C362" s="239">
        <v>2325.6392887618995</v>
      </c>
      <c r="D362" s="239">
        <v>2686.1025480566941</v>
      </c>
      <c r="E362" s="239">
        <v>3000.3765461793273</v>
      </c>
      <c r="F362" s="239">
        <v>3300.41420079726</v>
      </c>
      <c r="G362" s="239">
        <v>3587.5502362666216</v>
      </c>
    </row>
    <row r="363" spans="1:7" x14ac:dyDescent="0.25">
      <c r="A363" s="129">
        <v>18700</v>
      </c>
      <c r="B363" s="239">
        <v>1642.626237911988</v>
      </c>
      <c r="C363" s="239">
        <v>2329.6424770740341</v>
      </c>
      <c r="D363" s="239">
        <v>2690.729480148103</v>
      </c>
      <c r="E363" s="239">
        <v>3005.5448293254312</v>
      </c>
      <c r="F363" s="239">
        <v>3306.0993122579739</v>
      </c>
      <c r="G363" s="239">
        <v>3593.7299524244181</v>
      </c>
    </row>
    <row r="364" spans="1:7" x14ac:dyDescent="0.25">
      <c r="A364" s="129">
        <v>18750</v>
      </c>
      <c r="B364" s="239">
        <v>1645.4404555783278</v>
      </c>
      <c r="C364" s="239">
        <v>2333.6456653861687</v>
      </c>
      <c r="D364" s="239">
        <v>2695.3564122395114</v>
      </c>
      <c r="E364" s="239">
        <v>3010.7131124715347</v>
      </c>
      <c r="F364" s="239">
        <v>3311.7844237186882</v>
      </c>
      <c r="G364" s="239">
        <v>3599.9096685822142</v>
      </c>
    </row>
    <row r="365" spans="1:7" x14ac:dyDescent="0.25">
      <c r="A365" s="129">
        <v>18800</v>
      </c>
      <c r="B365" s="239">
        <v>1648.2546732446679</v>
      </c>
      <c r="C365" s="239">
        <v>2337.6488536983034</v>
      </c>
      <c r="D365" s="239">
        <v>2699.9833443309203</v>
      </c>
      <c r="E365" s="239">
        <v>3015.8813956176382</v>
      </c>
      <c r="F365" s="239">
        <v>3317.4695351794021</v>
      </c>
      <c r="G365" s="239">
        <v>3606.0893847400102</v>
      </c>
    </row>
    <row r="366" spans="1:7" x14ac:dyDescent="0.25">
      <c r="A366" s="129">
        <v>18850</v>
      </c>
      <c r="B366" s="239">
        <v>1651.0688909110077</v>
      </c>
      <c r="C366" s="239">
        <v>2341.652042010438</v>
      </c>
      <c r="D366" s="239">
        <v>2704.6102764223292</v>
      </c>
      <c r="E366" s="239">
        <v>3021.0496787637421</v>
      </c>
      <c r="F366" s="239">
        <v>3323.154646640116</v>
      </c>
      <c r="G366" s="239">
        <v>3612.2691008978063</v>
      </c>
    </row>
    <row r="367" spans="1:7" x14ac:dyDescent="0.25">
      <c r="A367" s="129">
        <v>18900</v>
      </c>
      <c r="B367" s="239">
        <v>1653.8831085773477</v>
      </c>
      <c r="C367" s="239">
        <v>2345.6552303225726</v>
      </c>
      <c r="D367" s="239">
        <v>2709.2372085137386</v>
      </c>
      <c r="E367" s="239">
        <v>3026.2179619098461</v>
      </c>
      <c r="F367" s="239">
        <v>3328.8397581008303</v>
      </c>
      <c r="G367" s="239">
        <v>3618.4488170556028</v>
      </c>
    </row>
    <row r="368" spans="1:7" x14ac:dyDescent="0.25">
      <c r="A368" s="129">
        <v>18950</v>
      </c>
      <c r="B368" s="239">
        <v>1656.6973262436877</v>
      </c>
      <c r="C368" s="239">
        <v>2349.6584186347072</v>
      </c>
      <c r="D368" s="239">
        <v>2713.864140605147</v>
      </c>
      <c r="E368" s="239">
        <v>3031.3862450559495</v>
      </c>
      <c r="F368" s="239">
        <v>3334.5248695615446</v>
      </c>
      <c r="G368" s="239">
        <v>3624.6285332133989</v>
      </c>
    </row>
    <row r="369" spans="1:7" x14ac:dyDescent="0.25">
      <c r="A369" s="129">
        <v>19000</v>
      </c>
      <c r="B369" s="239">
        <v>1659.5115439100277</v>
      </c>
      <c r="C369" s="239">
        <v>2353.6616069468423</v>
      </c>
      <c r="D369" s="239">
        <v>2718.4910726965563</v>
      </c>
      <c r="E369" s="239">
        <v>3036.5545282020535</v>
      </c>
      <c r="F369" s="239">
        <v>3340.2099810222589</v>
      </c>
      <c r="G369" s="239">
        <v>3630.8082493711954</v>
      </c>
    </row>
    <row r="370" spans="1:7" x14ac:dyDescent="0.25">
      <c r="A370" s="129">
        <v>19050</v>
      </c>
      <c r="B370" s="239">
        <v>1662.3257615763675</v>
      </c>
      <c r="C370" s="239">
        <v>2357.6647952589769</v>
      </c>
      <c r="D370" s="239">
        <v>2723.1180047879652</v>
      </c>
      <c r="E370" s="239">
        <v>3041.7228113481569</v>
      </c>
      <c r="F370" s="239">
        <v>3345.8950924829728</v>
      </c>
      <c r="G370" s="239">
        <v>3636.9879655289915</v>
      </c>
    </row>
    <row r="371" spans="1:7" x14ac:dyDescent="0.25">
      <c r="A371" s="129">
        <v>19100</v>
      </c>
      <c r="B371" s="239">
        <v>1665.1399792427076</v>
      </c>
      <c r="C371" s="239">
        <v>2361.6679835711116</v>
      </c>
      <c r="D371" s="239">
        <v>2727.7449368793737</v>
      </c>
      <c r="E371" s="239">
        <v>3046.8910944942609</v>
      </c>
      <c r="F371" s="239">
        <v>3351.5802039436867</v>
      </c>
      <c r="G371" s="239">
        <v>3643.1676816867875</v>
      </c>
    </row>
    <row r="372" spans="1:7" x14ac:dyDescent="0.25">
      <c r="A372" s="129">
        <v>19150</v>
      </c>
      <c r="B372" s="239">
        <v>1667.9541969090474</v>
      </c>
      <c r="C372" s="239">
        <v>2365.6711718832462</v>
      </c>
      <c r="D372" s="239">
        <v>2732.3718689707825</v>
      </c>
      <c r="E372" s="239">
        <v>3052.0593776403643</v>
      </c>
      <c r="F372" s="239">
        <v>3357.265315404401</v>
      </c>
      <c r="G372" s="239">
        <v>3649.3473978445836</v>
      </c>
    </row>
    <row r="373" spans="1:7" x14ac:dyDescent="0.25">
      <c r="A373" s="129">
        <v>19200</v>
      </c>
      <c r="B373" s="239">
        <v>1670.7684145753874</v>
      </c>
      <c r="C373" s="239">
        <v>2369.6743601953808</v>
      </c>
      <c r="D373" s="239">
        <v>2736.9988010621914</v>
      </c>
      <c r="E373" s="239">
        <v>3057.2276607864678</v>
      </c>
      <c r="F373" s="239">
        <v>3362.9504268651149</v>
      </c>
      <c r="G373" s="239">
        <v>3655.5271140023797</v>
      </c>
    </row>
    <row r="374" spans="1:7" x14ac:dyDescent="0.25">
      <c r="A374" s="129">
        <v>19250</v>
      </c>
      <c r="B374" s="239">
        <v>1673.5826322417274</v>
      </c>
      <c r="C374" s="239">
        <v>2373.6775485075159</v>
      </c>
      <c r="D374" s="239">
        <v>2741.6257331536008</v>
      </c>
      <c r="E374" s="239">
        <v>3062.3959439325722</v>
      </c>
      <c r="F374" s="239">
        <v>3368.6355383258297</v>
      </c>
      <c r="G374" s="239">
        <v>3661.7068301601767</v>
      </c>
    </row>
    <row r="375" spans="1:7" x14ac:dyDescent="0.25">
      <c r="A375" s="129">
        <v>19300</v>
      </c>
      <c r="B375" s="239">
        <v>1676.3968499080675</v>
      </c>
      <c r="C375" s="239">
        <v>2377.6807368196505</v>
      </c>
      <c r="D375" s="239">
        <v>2746.2526652450097</v>
      </c>
      <c r="E375" s="239">
        <v>3067.5642270786757</v>
      </c>
      <c r="F375" s="239">
        <v>3374.3206497865435</v>
      </c>
      <c r="G375" s="239">
        <v>3667.8865463179727</v>
      </c>
    </row>
    <row r="376" spans="1:7" x14ac:dyDescent="0.25">
      <c r="A376" s="129">
        <v>19350</v>
      </c>
      <c r="B376" s="239">
        <v>1679.2110675744073</v>
      </c>
      <c r="C376" s="239">
        <v>2381.6839251317851</v>
      </c>
      <c r="D376" s="239">
        <v>2750.8795973364186</v>
      </c>
      <c r="E376" s="239">
        <v>3072.7325102247796</v>
      </c>
      <c r="F376" s="239">
        <v>3380.0057612472574</v>
      </c>
      <c r="G376" s="239">
        <v>3674.0662624757688</v>
      </c>
    </row>
    <row r="377" spans="1:7" x14ac:dyDescent="0.25">
      <c r="A377" s="129">
        <v>19400</v>
      </c>
      <c r="B377" s="239">
        <v>1682.0252852407473</v>
      </c>
      <c r="C377" s="239">
        <v>2385.6871134439198</v>
      </c>
      <c r="D377" s="239">
        <v>2755.5065294278274</v>
      </c>
      <c r="E377" s="239">
        <v>3077.9007933708831</v>
      </c>
      <c r="F377" s="239">
        <v>3385.6908727079717</v>
      </c>
      <c r="G377" s="239">
        <v>3680.2459786335648</v>
      </c>
    </row>
    <row r="378" spans="1:7" x14ac:dyDescent="0.25">
      <c r="A378" s="129">
        <v>19450</v>
      </c>
      <c r="B378" s="239">
        <v>1684.3501721697642</v>
      </c>
      <c r="C378" s="239">
        <v>2388.9336952951153</v>
      </c>
      <c r="D378" s="239">
        <v>2759.1951228030362</v>
      </c>
      <c r="E378" s="239">
        <v>3082.0209521709912</v>
      </c>
      <c r="F378" s="239">
        <v>3390.22304738809</v>
      </c>
      <c r="G378" s="239">
        <v>3685.1724525108534</v>
      </c>
    </row>
    <row r="379" spans="1:7" x14ac:dyDescent="0.25">
      <c r="A379" s="129">
        <v>19500</v>
      </c>
      <c r="B379" s="239">
        <v>1686.4554881690044</v>
      </c>
      <c r="C379" s="239">
        <v>2391.8407751051914</v>
      </c>
      <c r="D379" s="239">
        <v>2762.46266781842</v>
      </c>
      <c r="E379" s="239">
        <v>3085.670799953175</v>
      </c>
      <c r="F379" s="239">
        <v>3394.2378799484923</v>
      </c>
      <c r="G379" s="239">
        <v>3689.5365755040107</v>
      </c>
    </row>
    <row r="380" spans="1:7" x14ac:dyDescent="0.25">
      <c r="A380" s="129">
        <v>19550</v>
      </c>
      <c r="B380" s="239">
        <v>1688.5608041682447</v>
      </c>
      <c r="C380" s="239">
        <v>2394.7478549152675</v>
      </c>
      <c r="D380" s="239">
        <v>2765.7302128338038</v>
      </c>
      <c r="E380" s="239">
        <v>3089.3206477353588</v>
      </c>
      <c r="F380" s="239">
        <v>3398.2527125088941</v>
      </c>
      <c r="G380" s="239">
        <v>3693.9006984971679</v>
      </c>
    </row>
    <row r="381" spans="1:7" x14ac:dyDescent="0.25">
      <c r="A381" s="129">
        <v>19600</v>
      </c>
      <c r="B381" s="239">
        <v>1690.6661201674847</v>
      </c>
      <c r="C381" s="239">
        <v>2397.6549347253435</v>
      </c>
      <c r="D381" s="239">
        <v>2768.9977578491876</v>
      </c>
      <c r="E381" s="239">
        <v>3092.9704955175425</v>
      </c>
      <c r="F381" s="239">
        <v>3402.2675450692964</v>
      </c>
      <c r="G381" s="239">
        <v>3698.2648214903252</v>
      </c>
    </row>
    <row r="382" spans="1:7" x14ac:dyDescent="0.25">
      <c r="A382" s="129">
        <v>19650</v>
      </c>
      <c r="B382" s="239">
        <v>1692.7714361667249</v>
      </c>
      <c r="C382" s="239">
        <v>2400.5620145354201</v>
      </c>
      <c r="D382" s="239">
        <v>2772.2653028645718</v>
      </c>
      <c r="E382" s="239">
        <v>3096.6203432997263</v>
      </c>
      <c r="F382" s="239">
        <v>3406.2823776296987</v>
      </c>
      <c r="G382" s="239">
        <v>3702.6289444834824</v>
      </c>
    </row>
    <row r="383" spans="1:7" x14ac:dyDescent="0.25">
      <c r="A383" s="129">
        <v>19700</v>
      </c>
      <c r="B383" s="239">
        <v>1694.8767521659652</v>
      </c>
      <c r="C383" s="239">
        <v>2403.4690943454962</v>
      </c>
      <c r="D383" s="239">
        <v>2775.5328478799556</v>
      </c>
      <c r="E383" s="239">
        <v>3100.2701910819101</v>
      </c>
      <c r="F383" s="239">
        <v>3410.2972101901009</v>
      </c>
      <c r="G383" s="239">
        <v>3706.9930674766392</v>
      </c>
    </row>
    <row r="384" spans="1:7" x14ac:dyDescent="0.25">
      <c r="A384" s="129">
        <v>19750</v>
      </c>
      <c r="B384" s="239">
        <v>1696.9820681652052</v>
      </c>
      <c r="C384" s="239">
        <v>2406.3761741555722</v>
      </c>
      <c r="D384" s="239">
        <v>2778.8003928953394</v>
      </c>
      <c r="E384" s="239">
        <v>3103.9200388640938</v>
      </c>
      <c r="F384" s="239">
        <v>3414.3120427505028</v>
      </c>
      <c r="G384" s="239">
        <v>3711.3571904697965</v>
      </c>
    </row>
    <row r="385" spans="1:7" x14ac:dyDescent="0.25">
      <c r="A385" s="129">
        <v>19800</v>
      </c>
      <c r="B385" s="239">
        <v>1699.0873841644454</v>
      </c>
      <c r="C385" s="239">
        <v>2409.2832539656483</v>
      </c>
      <c r="D385" s="239">
        <v>2782.0679379107232</v>
      </c>
      <c r="E385" s="239">
        <v>3107.5698866462776</v>
      </c>
      <c r="F385" s="239">
        <v>3418.3268753109051</v>
      </c>
      <c r="G385" s="239">
        <v>3715.7213134629537</v>
      </c>
    </row>
    <row r="386" spans="1:7" x14ac:dyDescent="0.25">
      <c r="A386" s="129">
        <v>19850</v>
      </c>
      <c r="B386" s="239">
        <v>1701.1927001636857</v>
      </c>
      <c r="C386" s="239">
        <v>2412.1903337757249</v>
      </c>
      <c r="D386" s="239">
        <v>2785.335482926107</v>
      </c>
      <c r="E386" s="239">
        <v>3111.2197344284614</v>
      </c>
      <c r="F386" s="239">
        <v>3422.3417078713073</v>
      </c>
      <c r="G386" s="239">
        <v>3720.085436456111</v>
      </c>
    </row>
    <row r="387" spans="1:7" x14ac:dyDescent="0.25">
      <c r="A387" s="129">
        <v>19900</v>
      </c>
      <c r="B387" s="239">
        <v>1703.2980161629259</v>
      </c>
      <c r="C387" s="239">
        <v>2415.097413585801</v>
      </c>
      <c r="D387" s="239">
        <v>2788.6030279414913</v>
      </c>
      <c r="E387" s="239">
        <v>3114.8695822106456</v>
      </c>
      <c r="F387" s="239">
        <v>3426.3565404317096</v>
      </c>
      <c r="G387" s="239">
        <v>3724.4495594492682</v>
      </c>
    </row>
    <row r="388" spans="1:7" x14ac:dyDescent="0.25">
      <c r="A388" s="129">
        <v>19950</v>
      </c>
      <c r="B388" s="239">
        <v>1705.403332162166</v>
      </c>
      <c r="C388" s="239">
        <v>2418.004493395877</v>
      </c>
      <c r="D388" s="239">
        <v>2791.8705729568751</v>
      </c>
      <c r="E388" s="239">
        <v>3118.5194299928289</v>
      </c>
      <c r="F388" s="239">
        <v>3430.3713729921119</v>
      </c>
      <c r="G388" s="239">
        <v>3728.8136824424255</v>
      </c>
    </row>
    <row r="389" spans="1:7" x14ac:dyDescent="0.25">
      <c r="A389" s="129">
        <v>20000</v>
      </c>
      <c r="B389" s="239">
        <v>1707.5086481614062</v>
      </c>
      <c r="C389" s="239">
        <v>2420.9115732059531</v>
      </c>
      <c r="D389" s="239">
        <v>2795.1381179722589</v>
      </c>
      <c r="E389" s="239">
        <v>3122.1692777750127</v>
      </c>
      <c r="F389" s="239">
        <v>3434.3862055525137</v>
      </c>
      <c r="G389" s="239">
        <v>3733.1778054355823</v>
      </c>
    </row>
    <row r="390" spans="1:7" x14ac:dyDescent="0.25">
      <c r="A390" s="129">
        <v>20050</v>
      </c>
      <c r="B390" s="239">
        <v>1709.6139641606462</v>
      </c>
      <c r="C390" s="239">
        <v>2423.8186530160292</v>
      </c>
      <c r="D390" s="239">
        <v>2798.4056629876427</v>
      </c>
      <c r="E390" s="239">
        <v>3125.8191255571965</v>
      </c>
      <c r="F390" s="239">
        <v>3438.401038112916</v>
      </c>
      <c r="G390" s="239">
        <v>3737.5419284287395</v>
      </c>
    </row>
    <row r="391" spans="1:7" x14ac:dyDescent="0.25">
      <c r="A391" s="129">
        <v>20100</v>
      </c>
      <c r="B391" s="239">
        <v>1711.7192801598865</v>
      </c>
      <c r="C391" s="239">
        <v>2426.7257328261057</v>
      </c>
      <c r="D391" s="239">
        <v>2801.6732080030265</v>
      </c>
      <c r="E391" s="239">
        <v>3129.4689733393802</v>
      </c>
      <c r="F391" s="239">
        <v>3442.4158706733183</v>
      </c>
      <c r="G391" s="239">
        <v>3741.9060514218963</v>
      </c>
    </row>
    <row r="392" spans="1:7" x14ac:dyDescent="0.25">
      <c r="A392" s="129">
        <v>20150</v>
      </c>
      <c r="B392" s="239">
        <v>1713.8245961591267</v>
      </c>
      <c r="C392" s="239">
        <v>2429.6328126361818</v>
      </c>
      <c r="D392" s="239">
        <v>2804.9407530184103</v>
      </c>
      <c r="E392" s="239">
        <v>3133.118821121564</v>
      </c>
      <c r="F392" s="239">
        <v>3446.4307032337206</v>
      </c>
      <c r="G392" s="239">
        <v>3746.270174415054</v>
      </c>
    </row>
    <row r="393" spans="1:7" x14ac:dyDescent="0.25">
      <c r="A393" s="129">
        <v>20200</v>
      </c>
      <c r="B393" s="239">
        <v>1715.9299121583667</v>
      </c>
      <c r="C393" s="239">
        <v>2432.5398924462579</v>
      </c>
      <c r="D393" s="239">
        <v>2808.2082980337941</v>
      </c>
      <c r="E393" s="239">
        <v>3136.7686689037478</v>
      </c>
      <c r="F393" s="239">
        <v>3450.4455357941224</v>
      </c>
      <c r="G393" s="239">
        <v>3750.6342974082108</v>
      </c>
    </row>
    <row r="394" spans="1:7" x14ac:dyDescent="0.25">
      <c r="A394" s="129">
        <v>20250</v>
      </c>
      <c r="B394" s="239">
        <v>1718.035228157607</v>
      </c>
      <c r="C394" s="239">
        <v>2435.4469722563344</v>
      </c>
      <c r="D394" s="239">
        <v>2811.4758430491784</v>
      </c>
      <c r="E394" s="239">
        <v>3140.418516685932</v>
      </c>
      <c r="F394" s="239">
        <v>3454.4603683545247</v>
      </c>
      <c r="G394" s="239">
        <v>3754.9984204013681</v>
      </c>
    </row>
    <row r="395" spans="1:7" x14ac:dyDescent="0.25">
      <c r="A395" s="129">
        <v>20300</v>
      </c>
      <c r="B395" s="239">
        <v>1720.1405441568472</v>
      </c>
      <c r="C395" s="239">
        <v>2438.3540520664105</v>
      </c>
      <c r="D395" s="239">
        <v>2814.7433880645622</v>
      </c>
      <c r="E395" s="239">
        <v>3144.0683644681158</v>
      </c>
      <c r="F395" s="239">
        <v>3458.475200914927</v>
      </c>
      <c r="G395" s="239">
        <v>3759.3625433945253</v>
      </c>
    </row>
    <row r="396" spans="1:7" x14ac:dyDescent="0.25">
      <c r="A396" s="129">
        <v>20350</v>
      </c>
      <c r="B396" s="239">
        <v>1722.2458601560872</v>
      </c>
      <c r="C396" s="239">
        <v>2441.2611318764866</v>
      </c>
      <c r="D396" s="239">
        <v>2818.010933079946</v>
      </c>
      <c r="E396" s="239">
        <v>3147.7182122502995</v>
      </c>
      <c r="F396" s="239">
        <v>3462.4900334753293</v>
      </c>
      <c r="G396" s="239">
        <v>3763.7266663876826</v>
      </c>
    </row>
    <row r="397" spans="1:7" x14ac:dyDescent="0.25">
      <c r="A397" s="129">
        <v>20400</v>
      </c>
      <c r="B397" s="239">
        <v>1724.3511761553273</v>
      </c>
      <c r="C397" s="239">
        <v>2444.1682116865627</v>
      </c>
      <c r="D397" s="239">
        <v>2821.2784780953298</v>
      </c>
      <c r="E397" s="239">
        <v>3151.3680600324828</v>
      </c>
      <c r="F397" s="239">
        <v>3466.5048660357311</v>
      </c>
      <c r="G397" s="239">
        <v>3768.0907893808394</v>
      </c>
    </row>
    <row r="398" spans="1:7" x14ac:dyDescent="0.25">
      <c r="A398" s="129">
        <v>20450</v>
      </c>
      <c r="B398" s="239">
        <v>1726.4564921545675</v>
      </c>
      <c r="C398" s="239">
        <v>2447.0752914966388</v>
      </c>
      <c r="D398" s="239">
        <v>2824.5460231107136</v>
      </c>
      <c r="E398" s="239">
        <v>3155.0179078146666</v>
      </c>
      <c r="F398" s="239">
        <v>3470.5196985961334</v>
      </c>
      <c r="G398" s="239">
        <v>3772.4549123739966</v>
      </c>
    </row>
    <row r="399" spans="1:7" x14ac:dyDescent="0.25">
      <c r="A399" s="129">
        <v>20500</v>
      </c>
      <c r="B399" s="239">
        <v>1728.561808153808</v>
      </c>
      <c r="C399" s="239">
        <v>2449.9823713067153</v>
      </c>
      <c r="D399" s="239">
        <v>2827.8135681260978</v>
      </c>
      <c r="E399" s="239">
        <v>3158.6677555968508</v>
      </c>
      <c r="F399" s="239">
        <v>3474.5345311565356</v>
      </c>
      <c r="G399" s="239">
        <v>3776.8190353671544</v>
      </c>
    </row>
    <row r="400" spans="1:7" x14ac:dyDescent="0.25">
      <c r="A400" s="129">
        <v>20550</v>
      </c>
      <c r="B400" s="239">
        <v>1730.667124153048</v>
      </c>
      <c r="C400" s="239">
        <v>2452.8894511167914</v>
      </c>
      <c r="D400" s="239">
        <v>2831.0811131414816</v>
      </c>
      <c r="E400" s="239">
        <v>3162.3176033790346</v>
      </c>
      <c r="F400" s="239">
        <v>3478.5493637169379</v>
      </c>
      <c r="G400" s="239">
        <v>3781.1831583603112</v>
      </c>
    </row>
    <row r="401" spans="1:7" x14ac:dyDescent="0.25">
      <c r="A401" s="129">
        <v>20600</v>
      </c>
      <c r="B401" s="239">
        <v>1732.772440152288</v>
      </c>
      <c r="C401" s="239">
        <v>2455.7965309268675</v>
      </c>
      <c r="D401" s="239">
        <v>2834.3486581568654</v>
      </c>
      <c r="E401" s="239">
        <v>3165.9674511612184</v>
      </c>
      <c r="F401" s="239">
        <v>3482.5641962773402</v>
      </c>
      <c r="G401" s="239">
        <v>3785.5472813534684</v>
      </c>
    </row>
    <row r="402" spans="1:7" x14ac:dyDescent="0.25">
      <c r="A402" s="129">
        <v>20650</v>
      </c>
      <c r="B402" s="239">
        <v>1734.8777561515283</v>
      </c>
      <c r="C402" s="239">
        <v>2458.7036107369436</v>
      </c>
      <c r="D402" s="239">
        <v>2837.6162031722492</v>
      </c>
      <c r="E402" s="239">
        <v>3169.6172989434021</v>
      </c>
      <c r="F402" s="239">
        <v>3486.579028837742</v>
      </c>
      <c r="G402" s="239">
        <v>3789.9114043466257</v>
      </c>
    </row>
    <row r="403" spans="1:7" x14ac:dyDescent="0.25">
      <c r="A403" s="129">
        <v>20700</v>
      </c>
      <c r="B403" s="239">
        <v>1736.9830721507683</v>
      </c>
      <c r="C403" s="239">
        <v>2461.6106905470197</v>
      </c>
      <c r="D403" s="239">
        <v>2840.883748187633</v>
      </c>
      <c r="E403" s="239">
        <v>3173.2671467255859</v>
      </c>
      <c r="F403" s="239">
        <v>3490.5938613981443</v>
      </c>
      <c r="G403" s="239">
        <v>3794.2755273397825</v>
      </c>
    </row>
    <row r="404" spans="1:7" x14ac:dyDescent="0.25">
      <c r="A404" s="129">
        <v>20750</v>
      </c>
      <c r="B404" s="239">
        <v>1739.0883881500085</v>
      </c>
      <c r="C404" s="239">
        <v>2464.5177703570962</v>
      </c>
      <c r="D404" s="239">
        <v>2844.1512932030168</v>
      </c>
      <c r="E404" s="239">
        <v>3176.9169945077697</v>
      </c>
      <c r="F404" s="239">
        <v>3494.6086939585466</v>
      </c>
      <c r="G404" s="239">
        <v>3798.6396503329397</v>
      </c>
    </row>
    <row r="405" spans="1:7" x14ac:dyDescent="0.25">
      <c r="A405" s="129">
        <v>20800</v>
      </c>
      <c r="B405" s="239">
        <v>1741.1937041492488</v>
      </c>
      <c r="C405" s="239">
        <v>2467.4248501671723</v>
      </c>
      <c r="D405" s="239">
        <v>2847.4188382184007</v>
      </c>
      <c r="E405" s="239">
        <v>3180.5668422899535</v>
      </c>
      <c r="F405" s="239">
        <v>3498.6235265189484</v>
      </c>
      <c r="G405" s="239">
        <v>3803.003773326097</v>
      </c>
    </row>
    <row r="406" spans="1:7" x14ac:dyDescent="0.25">
      <c r="A406" s="129">
        <v>20850</v>
      </c>
      <c r="B406" s="239">
        <v>1743.2990201484888</v>
      </c>
      <c r="C406" s="239">
        <v>2470.3319299772484</v>
      </c>
      <c r="D406" s="239">
        <v>2850.6863832337845</v>
      </c>
      <c r="E406" s="239">
        <v>3184.2166900721372</v>
      </c>
      <c r="F406" s="239">
        <v>3502.6383590793507</v>
      </c>
      <c r="G406" s="239">
        <v>3807.3678963192542</v>
      </c>
    </row>
    <row r="407" spans="1:7" x14ac:dyDescent="0.25">
      <c r="A407" s="129">
        <v>20900</v>
      </c>
      <c r="B407" s="239">
        <v>1745.4043361477291</v>
      </c>
      <c r="C407" s="239">
        <v>2473.2390097873249</v>
      </c>
      <c r="D407" s="239">
        <v>2853.9539282491687</v>
      </c>
      <c r="E407" s="239">
        <v>3187.866537854321</v>
      </c>
      <c r="F407" s="239">
        <v>3506.653191639753</v>
      </c>
      <c r="G407" s="239">
        <v>3811.7320193124115</v>
      </c>
    </row>
    <row r="408" spans="1:7" x14ac:dyDescent="0.25">
      <c r="A408" s="129">
        <v>20950</v>
      </c>
      <c r="B408" s="239">
        <v>1747.5096521469693</v>
      </c>
      <c r="C408" s="239">
        <v>2476.146089597401</v>
      </c>
      <c r="D408" s="239">
        <v>2857.2214732645525</v>
      </c>
      <c r="E408" s="239">
        <v>3191.5163856365048</v>
      </c>
      <c r="F408" s="239">
        <v>3510.6680242001553</v>
      </c>
      <c r="G408" s="239">
        <v>3816.0961423055683</v>
      </c>
    </row>
    <row r="409" spans="1:7" x14ac:dyDescent="0.25">
      <c r="A409" s="129">
        <v>21000</v>
      </c>
      <c r="B409" s="239">
        <v>1749.6149681462093</v>
      </c>
      <c r="C409" s="239">
        <v>2479.0531694074771</v>
      </c>
      <c r="D409" s="239">
        <v>2860.4890182799363</v>
      </c>
      <c r="E409" s="239">
        <v>3195.1662334186885</v>
      </c>
      <c r="F409" s="239">
        <v>3514.6828567605571</v>
      </c>
      <c r="G409" s="239">
        <v>3820.4602652987255</v>
      </c>
    </row>
    <row r="410" spans="1:7" x14ac:dyDescent="0.25">
      <c r="A410" s="129">
        <v>21050</v>
      </c>
      <c r="B410" s="239">
        <v>1751.7202841454496</v>
      </c>
      <c r="C410" s="239">
        <v>2481.9602492175532</v>
      </c>
      <c r="D410" s="239">
        <v>2863.7565632953201</v>
      </c>
      <c r="E410" s="239">
        <v>3198.8160812008723</v>
      </c>
      <c r="F410" s="239">
        <v>3518.6976893209594</v>
      </c>
      <c r="G410" s="239">
        <v>3824.8243882918828</v>
      </c>
    </row>
    <row r="411" spans="1:7" x14ac:dyDescent="0.25">
      <c r="A411" s="129">
        <v>21100</v>
      </c>
      <c r="B411" s="239">
        <v>1753.8256001446898</v>
      </c>
      <c r="C411" s="239">
        <v>2484.8673290276292</v>
      </c>
      <c r="D411" s="239">
        <v>2867.0241083107039</v>
      </c>
      <c r="E411" s="239">
        <v>3202.4659289830561</v>
      </c>
      <c r="F411" s="239">
        <v>3522.7125218813617</v>
      </c>
      <c r="G411" s="239">
        <v>3829.18851128504</v>
      </c>
    </row>
    <row r="412" spans="1:7" x14ac:dyDescent="0.25">
      <c r="A412" s="129">
        <v>21150</v>
      </c>
      <c r="B412" s="239">
        <v>1755.9309161439301</v>
      </c>
      <c r="C412" s="239">
        <v>2487.7744088377058</v>
      </c>
      <c r="D412" s="239">
        <v>2870.2916533260882</v>
      </c>
      <c r="E412" s="239">
        <v>3206.1157767652403</v>
      </c>
      <c r="F412" s="239">
        <v>3526.727354441764</v>
      </c>
      <c r="G412" s="239">
        <v>3833.5526342781973</v>
      </c>
    </row>
    <row r="413" spans="1:7" x14ac:dyDescent="0.25">
      <c r="A413" s="129">
        <v>21200</v>
      </c>
      <c r="B413" s="239">
        <v>1758.0362321431701</v>
      </c>
      <c r="C413" s="239">
        <v>2490.6814886477819</v>
      </c>
      <c r="D413" s="239">
        <v>2873.559198341472</v>
      </c>
      <c r="E413" s="239">
        <v>3209.7656245474241</v>
      </c>
      <c r="F413" s="239">
        <v>3530.7421870021662</v>
      </c>
      <c r="G413" s="239">
        <v>3837.9167572713545</v>
      </c>
    </row>
    <row r="414" spans="1:7" x14ac:dyDescent="0.25">
      <c r="A414" s="129">
        <v>21250</v>
      </c>
      <c r="B414" s="239">
        <v>1760.1415481424103</v>
      </c>
      <c r="C414" s="239">
        <v>2493.5885684578579</v>
      </c>
      <c r="D414" s="239">
        <v>2876.8267433568558</v>
      </c>
      <c r="E414" s="239">
        <v>3213.4154723296078</v>
      </c>
      <c r="F414" s="239">
        <v>3534.7570195625681</v>
      </c>
      <c r="G414" s="239">
        <v>3842.2808802645113</v>
      </c>
    </row>
    <row r="415" spans="1:7" x14ac:dyDescent="0.25">
      <c r="A415" s="129">
        <v>21300</v>
      </c>
      <c r="B415" s="239">
        <v>1762.2468641416503</v>
      </c>
      <c r="C415" s="239">
        <v>2496.495648267934</v>
      </c>
      <c r="D415" s="239">
        <v>2880.0942883722396</v>
      </c>
      <c r="E415" s="239">
        <v>3217.0653201117912</v>
      </c>
      <c r="F415" s="239">
        <v>3538.7718521229704</v>
      </c>
      <c r="G415" s="239">
        <v>3846.6450032576686</v>
      </c>
    </row>
    <row r="416" spans="1:7" x14ac:dyDescent="0.25">
      <c r="A416" s="129">
        <v>21350</v>
      </c>
      <c r="B416" s="239">
        <v>1764.3521801408906</v>
      </c>
      <c r="C416" s="239">
        <v>2499.4027280780101</v>
      </c>
      <c r="D416" s="239">
        <v>2883.3618333876234</v>
      </c>
      <c r="E416" s="239">
        <v>3220.7151678939749</v>
      </c>
      <c r="F416" s="239">
        <v>3542.7866846833722</v>
      </c>
      <c r="G416" s="239">
        <v>3851.0091262508258</v>
      </c>
    </row>
    <row r="417" spans="1:7" x14ac:dyDescent="0.25">
      <c r="A417" s="129">
        <v>21400</v>
      </c>
      <c r="B417" s="239">
        <v>1766.4574961401308</v>
      </c>
      <c r="C417" s="239">
        <v>2502.3098078880867</v>
      </c>
      <c r="D417" s="239">
        <v>2886.6293784030072</v>
      </c>
      <c r="E417" s="239">
        <v>3224.3650156761591</v>
      </c>
      <c r="F417" s="239">
        <v>3546.8015172437749</v>
      </c>
      <c r="G417" s="239">
        <v>3855.3732492439831</v>
      </c>
    </row>
    <row r="418" spans="1:7" x14ac:dyDescent="0.25">
      <c r="A418" s="129">
        <v>21450</v>
      </c>
      <c r="B418" s="239">
        <v>1768.5628121393709</v>
      </c>
      <c r="C418" s="239">
        <v>2505.2168876981627</v>
      </c>
      <c r="D418" s="239">
        <v>2889.896923418391</v>
      </c>
      <c r="E418" s="239">
        <v>3228.0148634583429</v>
      </c>
      <c r="F418" s="239">
        <v>3550.8163498041768</v>
      </c>
      <c r="G418" s="239">
        <v>3859.7373722371399</v>
      </c>
    </row>
    <row r="419" spans="1:7" x14ac:dyDescent="0.25">
      <c r="A419" s="129">
        <v>21500</v>
      </c>
      <c r="B419" s="239">
        <v>1770.6681281386111</v>
      </c>
      <c r="C419" s="239">
        <v>2508.1239675082388</v>
      </c>
      <c r="D419" s="239">
        <v>2893.1644684337753</v>
      </c>
      <c r="E419" s="239">
        <v>3231.6647112405267</v>
      </c>
      <c r="F419" s="239">
        <v>3554.831182364579</v>
      </c>
      <c r="G419" s="239">
        <v>3864.1014952302976</v>
      </c>
    </row>
    <row r="420" spans="1:7" x14ac:dyDescent="0.25">
      <c r="A420" s="129">
        <v>21550</v>
      </c>
      <c r="B420" s="239">
        <v>1772.7734441378514</v>
      </c>
      <c r="C420" s="239">
        <v>2511.0310473183149</v>
      </c>
      <c r="D420" s="239">
        <v>2896.4320134491591</v>
      </c>
      <c r="E420" s="239">
        <v>3235.3145590227105</v>
      </c>
      <c r="F420" s="239">
        <v>3558.8460149249813</v>
      </c>
      <c r="G420" s="239">
        <v>3868.4656182234544</v>
      </c>
    </row>
    <row r="421" spans="1:7" x14ac:dyDescent="0.25">
      <c r="A421" s="129">
        <v>21600</v>
      </c>
      <c r="B421" s="239">
        <v>1774.8787601370914</v>
      </c>
      <c r="C421" s="239">
        <v>2513.938127128391</v>
      </c>
      <c r="D421" s="239">
        <v>2899.6995584645429</v>
      </c>
      <c r="E421" s="239">
        <v>3238.9644068048942</v>
      </c>
      <c r="F421" s="239">
        <v>3562.8608474853836</v>
      </c>
      <c r="G421" s="239">
        <v>3872.8297412166116</v>
      </c>
    </row>
    <row r="422" spans="1:7" x14ac:dyDescent="0.25">
      <c r="A422" s="129">
        <v>21650</v>
      </c>
      <c r="B422" s="239">
        <v>1776.9840761363316</v>
      </c>
      <c r="C422" s="239">
        <v>2516.8452069384675</v>
      </c>
      <c r="D422" s="239">
        <v>2902.9671034799267</v>
      </c>
      <c r="E422" s="239">
        <v>3242.614254587078</v>
      </c>
      <c r="F422" s="239">
        <v>3566.8756800457854</v>
      </c>
      <c r="G422" s="239">
        <v>3877.1938642097684</v>
      </c>
    </row>
    <row r="423" spans="1:7" x14ac:dyDescent="0.25">
      <c r="A423" s="129">
        <v>21700</v>
      </c>
      <c r="B423" s="239">
        <v>1779.0893921355716</v>
      </c>
      <c r="C423" s="239">
        <v>2519.7522867485436</v>
      </c>
      <c r="D423" s="239">
        <v>2906.2346484953105</v>
      </c>
      <c r="E423" s="239">
        <v>3246.2641023692618</v>
      </c>
      <c r="F423" s="239">
        <v>3570.8905126061877</v>
      </c>
      <c r="G423" s="239">
        <v>3881.5579872029257</v>
      </c>
    </row>
    <row r="424" spans="1:7" x14ac:dyDescent="0.25">
      <c r="A424" s="129">
        <v>21750</v>
      </c>
      <c r="B424" s="239">
        <v>1781.1947081348119</v>
      </c>
      <c r="C424" s="239">
        <v>2522.6593665586197</v>
      </c>
      <c r="D424" s="239">
        <v>2909.5021935106943</v>
      </c>
      <c r="E424" s="239">
        <v>3249.9139501514455</v>
      </c>
      <c r="F424" s="239">
        <v>3574.90534516659</v>
      </c>
      <c r="G424" s="239">
        <v>3885.9221101960829</v>
      </c>
    </row>
    <row r="425" spans="1:7" x14ac:dyDescent="0.25">
      <c r="A425" s="129">
        <v>21800</v>
      </c>
      <c r="B425" s="239">
        <v>1783.3000241340521</v>
      </c>
      <c r="C425" s="239">
        <v>2525.5664463686962</v>
      </c>
      <c r="D425" s="239">
        <v>2912.7697385260785</v>
      </c>
      <c r="E425" s="239">
        <v>3253.5637979336293</v>
      </c>
      <c r="F425" s="239">
        <v>3578.9201777269923</v>
      </c>
      <c r="G425" s="239">
        <v>3890.2862331892402</v>
      </c>
    </row>
    <row r="426" spans="1:7" x14ac:dyDescent="0.25">
      <c r="A426" s="129">
        <v>21850</v>
      </c>
      <c r="B426" s="239">
        <v>1785.4053401332924</v>
      </c>
      <c r="C426" s="239">
        <v>2528.4735261787723</v>
      </c>
      <c r="D426" s="239">
        <v>2916.0372835414623</v>
      </c>
      <c r="E426" s="239">
        <v>3257.2136457158131</v>
      </c>
      <c r="F426" s="239">
        <v>3582.9350102873941</v>
      </c>
      <c r="G426" s="239">
        <v>3894.6503561823974</v>
      </c>
    </row>
    <row r="427" spans="1:7" x14ac:dyDescent="0.25">
      <c r="A427" s="129">
        <v>21900</v>
      </c>
      <c r="B427" s="239">
        <v>1787.5106561325324</v>
      </c>
      <c r="C427" s="239">
        <v>2531.3806059888484</v>
      </c>
      <c r="D427" s="239">
        <v>2919.3048285568461</v>
      </c>
      <c r="E427" s="239">
        <v>3260.8634934979968</v>
      </c>
      <c r="F427" s="239">
        <v>3586.9498428477964</v>
      </c>
      <c r="G427" s="239">
        <v>3899.0144791755547</v>
      </c>
    </row>
    <row r="428" spans="1:7" x14ac:dyDescent="0.25">
      <c r="A428" s="129">
        <v>21950</v>
      </c>
      <c r="B428" s="239">
        <v>1789.6159721317727</v>
      </c>
      <c r="C428" s="239">
        <v>2534.2876857989245</v>
      </c>
      <c r="D428" s="239">
        <v>2922.5723735722299</v>
      </c>
      <c r="E428" s="239">
        <v>3264.5133412801806</v>
      </c>
      <c r="F428" s="239">
        <v>3590.9646754081987</v>
      </c>
      <c r="G428" s="239">
        <v>3903.3786021687115</v>
      </c>
    </row>
    <row r="429" spans="1:7" x14ac:dyDescent="0.25">
      <c r="A429" s="129">
        <v>22000</v>
      </c>
      <c r="B429" s="239">
        <v>1791.7212881310129</v>
      </c>
      <c r="C429" s="239">
        <v>2537.1947656090006</v>
      </c>
      <c r="D429" s="239">
        <v>2925.8399185876137</v>
      </c>
      <c r="E429" s="239">
        <v>3268.1631890623648</v>
      </c>
      <c r="F429" s="239">
        <v>3594.979507968601</v>
      </c>
      <c r="G429" s="239">
        <v>3907.7427251618687</v>
      </c>
    </row>
    <row r="430" spans="1:7" x14ac:dyDescent="0.25">
      <c r="A430" s="129">
        <v>22050</v>
      </c>
      <c r="B430" s="239">
        <v>1793.8266041302529</v>
      </c>
      <c r="C430" s="239">
        <v>2540.1018454190771</v>
      </c>
      <c r="D430" s="239">
        <v>2929.107463602998</v>
      </c>
      <c r="E430" s="239">
        <v>3271.8130368445482</v>
      </c>
      <c r="F430" s="239">
        <v>3598.9943405290028</v>
      </c>
      <c r="G430" s="239">
        <v>3912.106848155026</v>
      </c>
    </row>
    <row r="431" spans="1:7" x14ac:dyDescent="0.25">
      <c r="A431" s="129">
        <v>22100</v>
      </c>
      <c r="B431" s="239">
        <v>1795.9319201294929</v>
      </c>
      <c r="C431" s="239">
        <v>2543.0089252291532</v>
      </c>
      <c r="D431" s="239">
        <v>2932.3750086183818</v>
      </c>
      <c r="E431" s="239">
        <v>3275.4628846267319</v>
      </c>
      <c r="F431" s="239">
        <v>3603.0091730894051</v>
      </c>
      <c r="G431" s="239">
        <v>3916.4709711481833</v>
      </c>
    </row>
    <row r="432" spans="1:7" x14ac:dyDescent="0.25">
      <c r="A432" s="129">
        <v>22150</v>
      </c>
      <c r="B432" s="239">
        <v>1798.0372361287332</v>
      </c>
      <c r="C432" s="239">
        <v>2545.9160050392293</v>
      </c>
      <c r="D432" s="239">
        <v>2935.6425536337656</v>
      </c>
      <c r="E432" s="239">
        <v>3279.1127324089161</v>
      </c>
      <c r="F432" s="239">
        <v>3607.0240056498073</v>
      </c>
      <c r="G432" s="239">
        <v>3920.8350941413405</v>
      </c>
    </row>
    <row r="433" spans="1:7" x14ac:dyDescent="0.25">
      <c r="A433" s="129">
        <v>22200</v>
      </c>
      <c r="B433" s="239">
        <v>1800.1425521279734</v>
      </c>
      <c r="C433" s="239">
        <v>2548.8230848493054</v>
      </c>
      <c r="D433" s="239">
        <v>2938.9100986491494</v>
      </c>
      <c r="E433" s="239">
        <v>3282.7625801910999</v>
      </c>
      <c r="F433" s="239">
        <v>3611.0388382102096</v>
      </c>
      <c r="G433" s="239">
        <v>3925.1992171344973</v>
      </c>
    </row>
    <row r="434" spans="1:7" x14ac:dyDescent="0.25">
      <c r="A434" s="129">
        <v>22250</v>
      </c>
      <c r="B434" s="239">
        <v>1802.2478681272135</v>
      </c>
      <c r="C434" s="239">
        <v>2551.7301646593814</v>
      </c>
      <c r="D434" s="239">
        <v>2942.1776436645332</v>
      </c>
      <c r="E434" s="239">
        <v>3286.4124279732832</v>
      </c>
      <c r="F434" s="239">
        <v>3615.0536707706115</v>
      </c>
      <c r="G434" s="239">
        <v>3929.5633401276546</v>
      </c>
    </row>
    <row r="435" spans="1:7" x14ac:dyDescent="0.25">
      <c r="A435" s="129">
        <v>22300</v>
      </c>
      <c r="B435" s="239">
        <v>1804.3531841264537</v>
      </c>
      <c r="C435" s="239">
        <v>2554.6372444694575</v>
      </c>
      <c r="D435" s="239">
        <v>2945.445188679917</v>
      </c>
      <c r="E435" s="239">
        <v>3290.062275755467</v>
      </c>
      <c r="F435" s="239">
        <v>3619.0685033310137</v>
      </c>
      <c r="G435" s="239">
        <v>3933.9274631208118</v>
      </c>
    </row>
    <row r="436" spans="1:7" x14ac:dyDescent="0.25">
      <c r="A436" s="129">
        <v>22350</v>
      </c>
      <c r="B436" s="239">
        <v>1806.4585001256939</v>
      </c>
      <c r="C436" s="239">
        <v>2557.5443242795341</v>
      </c>
      <c r="D436" s="239">
        <v>2948.7127336953008</v>
      </c>
      <c r="E436" s="239">
        <v>3293.7121235376512</v>
      </c>
      <c r="F436" s="239">
        <v>3623.083335891416</v>
      </c>
      <c r="G436" s="239">
        <v>3938.2915861139691</v>
      </c>
    </row>
    <row r="437" spans="1:7" x14ac:dyDescent="0.25">
      <c r="A437" s="129">
        <v>22400</v>
      </c>
      <c r="B437" s="239">
        <v>1808.5638161249342</v>
      </c>
      <c r="C437" s="239">
        <v>2560.4514040896102</v>
      </c>
      <c r="D437" s="239">
        <v>2951.9802787106851</v>
      </c>
      <c r="E437" s="239">
        <v>3297.361971319835</v>
      </c>
      <c r="F437" s="239">
        <v>3627.0981684518183</v>
      </c>
      <c r="G437" s="239">
        <v>3942.6557091071263</v>
      </c>
    </row>
    <row r="438" spans="1:7" x14ac:dyDescent="0.25">
      <c r="A438" s="129">
        <v>22450</v>
      </c>
      <c r="B438" s="239">
        <v>1810.6691321241742</v>
      </c>
      <c r="C438" s="239">
        <v>2563.3584838996862</v>
      </c>
      <c r="D438" s="239">
        <v>2955.2478237260689</v>
      </c>
      <c r="E438" s="239">
        <v>3301.0118191020188</v>
      </c>
      <c r="F438" s="239">
        <v>3631.1130010122206</v>
      </c>
      <c r="G438" s="239">
        <v>3947.0198321002836</v>
      </c>
    </row>
    <row r="439" spans="1:7" x14ac:dyDescent="0.25">
      <c r="A439" s="129">
        <v>22500</v>
      </c>
      <c r="B439" s="239">
        <v>1812.7744481234145</v>
      </c>
      <c r="C439" s="239">
        <v>2566.2655637097628</v>
      </c>
      <c r="D439" s="239">
        <v>2958.5153687414527</v>
      </c>
      <c r="E439" s="239">
        <v>3304.6616668842025</v>
      </c>
      <c r="F439" s="239">
        <v>3635.1278335726224</v>
      </c>
      <c r="G439" s="239">
        <v>3951.3839550934404</v>
      </c>
    </row>
    <row r="440" spans="1:7" x14ac:dyDescent="0.25">
      <c r="A440" s="129">
        <v>22550</v>
      </c>
      <c r="B440" s="239">
        <v>1814.8797641226545</v>
      </c>
      <c r="C440" s="239">
        <v>2569.1726435198389</v>
      </c>
      <c r="D440" s="239">
        <v>2961.7829137568365</v>
      </c>
      <c r="E440" s="239">
        <v>3308.3115146663863</v>
      </c>
      <c r="F440" s="239">
        <v>3639.1426661330247</v>
      </c>
      <c r="G440" s="239">
        <v>3955.7480780865976</v>
      </c>
    </row>
    <row r="441" spans="1:7" x14ac:dyDescent="0.25">
      <c r="A441" s="129">
        <v>22600</v>
      </c>
      <c r="B441" s="239">
        <v>1816.9850801218947</v>
      </c>
      <c r="C441" s="239">
        <v>2572.0797233299149</v>
      </c>
      <c r="D441" s="239">
        <v>2965.0504587722203</v>
      </c>
      <c r="E441" s="239">
        <v>3311.9613624485701</v>
      </c>
      <c r="F441" s="239">
        <v>3643.1574986934265</v>
      </c>
      <c r="G441" s="239">
        <v>3960.1122010797544</v>
      </c>
    </row>
    <row r="442" spans="1:7" x14ac:dyDescent="0.25">
      <c r="A442" s="129">
        <v>22650</v>
      </c>
      <c r="B442" s="239">
        <v>1819.090396121135</v>
      </c>
      <c r="C442" s="239">
        <v>2574.986803139991</v>
      </c>
      <c r="D442" s="239">
        <v>2968.3180037876045</v>
      </c>
      <c r="E442" s="239">
        <v>3315.6112102307538</v>
      </c>
      <c r="F442" s="239">
        <v>3647.1723312538288</v>
      </c>
      <c r="G442" s="239">
        <v>3964.4763240729121</v>
      </c>
    </row>
    <row r="443" spans="1:7" x14ac:dyDescent="0.25">
      <c r="A443" s="129">
        <v>22700</v>
      </c>
      <c r="B443" s="239">
        <v>1821.195712120375</v>
      </c>
      <c r="C443" s="239">
        <v>2577.8938829500671</v>
      </c>
      <c r="D443" s="239">
        <v>2971.5855488029883</v>
      </c>
      <c r="E443" s="239">
        <v>3319.2610580129376</v>
      </c>
      <c r="F443" s="239">
        <v>3651.1871638142311</v>
      </c>
      <c r="G443" s="239">
        <v>3968.8404470660689</v>
      </c>
    </row>
    <row r="444" spans="1:7" x14ac:dyDescent="0.25">
      <c r="A444" s="129">
        <v>22750</v>
      </c>
      <c r="B444" s="239">
        <v>1823.3010281196152</v>
      </c>
      <c r="C444" s="239">
        <v>2580.8009627601436</v>
      </c>
      <c r="D444" s="239">
        <v>2974.8530938183721</v>
      </c>
      <c r="E444" s="239">
        <v>3322.9109057951214</v>
      </c>
      <c r="F444" s="239">
        <v>3655.2019963746334</v>
      </c>
      <c r="G444" s="239">
        <v>3973.2045700592262</v>
      </c>
    </row>
    <row r="445" spans="1:7" x14ac:dyDescent="0.25">
      <c r="A445" s="129">
        <v>22800</v>
      </c>
      <c r="B445" s="239">
        <v>1825.4063441188555</v>
      </c>
      <c r="C445" s="239">
        <v>2583.7080425702197</v>
      </c>
      <c r="D445" s="239">
        <v>2978.1206388337559</v>
      </c>
      <c r="E445" s="239">
        <v>3326.5607535773051</v>
      </c>
      <c r="F445" s="239">
        <v>3659.2168289350357</v>
      </c>
      <c r="G445" s="239">
        <v>3977.5686930523834</v>
      </c>
    </row>
    <row r="446" spans="1:7" x14ac:dyDescent="0.25">
      <c r="A446" s="129">
        <v>22850</v>
      </c>
      <c r="B446" s="239">
        <v>1827.5116601180955</v>
      </c>
      <c r="C446" s="239">
        <v>2586.6151223802958</v>
      </c>
      <c r="D446" s="239">
        <v>2981.3881838491398</v>
      </c>
      <c r="E446" s="239">
        <v>3330.2106013594889</v>
      </c>
      <c r="F446" s="239">
        <v>3663.2316614954375</v>
      </c>
      <c r="G446" s="239">
        <v>3981.9328160455407</v>
      </c>
    </row>
    <row r="447" spans="1:7" x14ac:dyDescent="0.25">
      <c r="A447" s="129">
        <v>22900</v>
      </c>
      <c r="B447" s="239">
        <v>1829.6169761173358</v>
      </c>
      <c r="C447" s="239">
        <v>2589.5222021903719</v>
      </c>
      <c r="D447" s="239">
        <v>2984.6557288645236</v>
      </c>
      <c r="E447" s="239">
        <v>3333.8604491416727</v>
      </c>
      <c r="F447" s="239">
        <v>3667.2464940558398</v>
      </c>
      <c r="G447" s="239">
        <v>3986.2969390386975</v>
      </c>
    </row>
    <row r="448" spans="1:7" x14ac:dyDescent="0.25">
      <c r="A448" s="129">
        <v>22950</v>
      </c>
      <c r="B448" s="239">
        <v>1831.7222921165758</v>
      </c>
      <c r="C448" s="239">
        <v>2592.429282000448</v>
      </c>
      <c r="D448" s="239">
        <v>2987.9232738799074</v>
      </c>
      <c r="E448" s="239">
        <v>3337.5102969238565</v>
      </c>
      <c r="F448" s="239">
        <v>3671.2613266162421</v>
      </c>
      <c r="G448" s="239">
        <v>3990.6610620318547</v>
      </c>
    </row>
    <row r="449" spans="1:7" x14ac:dyDescent="0.25">
      <c r="A449" s="129">
        <v>23000</v>
      </c>
      <c r="B449" s="239">
        <v>1833.827608115816</v>
      </c>
      <c r="C449" s="239">
        <v>2595.3363618105245</v>
      </c>
      <c r="D449" s="239">
        <v>2991.1908188952916</v>
      </c>
      <c r="E449" s="239">
        <v>3341.1601447060402</v>
      </c>
      <c r="F449" s="239">
        <v>3675.2761591766443</v>
      </c>
      <c r="G449" s="239">
        <v>3995.025185025012</v>
      </c>
    </row>
    <row r="450" spans="1:7" x14ac:dyDescent="0.25">
      <c r="A450" s="129">
        <v>23050</v>
      </c>
      <c r="B450" s="239">
        <v>1835.9329241150563</v>
      </c>
      <c r="C450" s="239">
        <v>2598.2434416206006</v>
      </c>
      <c r="D450" s="239">
        <v>2994.4583639106754</v>
      </c>
      <c r="E450" s="239">
        <v>3344.8099924882245</v>
      </c>
      <c r="F450" s="239">
        <v>3679.2909917370466</v>
      </c>
      <c r="G450" s="239">
        <v>3999.3893080181692</v>
      </c>
    </row>
    <row r="451" spans="1:7" x14ac:dyDescent="0.25">
      <c r="A451" s="129">
        <v>23100</v>
      </c>
      <c r="B451" s="239">
        <v>1838.0382401142965</v>
      </c>
      <c r="C451" s="239">
        <v>2601.1505214306767</v>
      </c>
      <c r="D451" s="239">
        <v>2997.7259089260592</v>
      </c>
      <c r="E451" s="239">
        <v>3348.4598402704082</v>
      </c>
      <c r="F451" s="239">
        <v>3683.3058242974485</v>
      </c>
      <c r="G451" s="239">
        <v>4003.7534310113265</v>
      </c>
    </row>
    <row r="452" spans="1:7" x14ac:dyDescent="0.25">
      <c r="A452" s="129">
        <v>23150</v>
      </c>
      <c r="B452" s="239">
        <v>1840.1435561135365</v>
      </c>
      <c r="C452" s="239">
        <v>2604.0576012407528</v>
      </c>
      <c r="D452" s="239">
        <v>3000.993453941443</v>
      </c>
      <c r="E452" s="239">
        <v>3352.109688052592</v>
      </c>
      <c r="F452" s="239">
        <v>3687.3206568578507</v>
      </c>
      <c r="G452" s="239">
        <v>4008.1175540044837</v>
      </c>
    </row>
    <row r="453" spans="1:7" x14ac:dyDescent="0.25">
      <c r="A453" s="129">
        <v>23200</v>
      </c>
      <c r="B453" s="239">
        <v>1842.2488721127768</v>
      </c>
      <c r="C453" s="239">
        <v>2606.9646810508293</v>
      </c>
      <c r="D453" s="239">
        <v>3004.2609989568273</v>
      </c>
      <c r="E453" s="239">
        <v>3355.7595358347758</v>
      </c>
      <c r="F453" s="239">
        <v>3691.335489418253</v>
      </c>
      <c r="G453" s="239">
        <v>4012.481676997641</v>
      </c>
    </row>
    <row r="454" spans="1:7" x14ac:dyDescent="0.25">
      <c r="A454" s="129">
        <v>23250</v>
      </c>
      <c r="B454" s="239">
        <v>1844.354188112017</v>
      </c>
      <c r="C454" s="239">
        <v>2609.8717608609054</v>
      </c>
      <c r="D454" s="239">
        <v>3007.5285439722111</v>
      </c>
      <c r="E454" s="239">
        <v>3359.4093836169595</v>
      </c>
      <c r="F454" s="239">
        <v>3695.3503219786553</v>
      </c>
      <c r="G454" s="239">
        <v>4016.8457999907978</v>
      </c>
    </row>
    <row r="455" spans="1:7" x14ac:dyDescent="0.25">
      <c r="A455" s="129">
        <v>23300</v>
      </c>
      <c r="B455" s="239">
        <v>1846.459504111257</v>
      </c>
      <c r="C455" s="239">
        <v>2612.7788406709815</v>
      </c>
      <c r="D455" s="239">
        <v>3010.7960889875949</v>
      </c>
      <c r="E455" s="239">
        <v>3363.0592313991433</v>
      </c>
      <c r="F455" s="239">
        <v>3699.3651545390571</v>
      </c>
      <c r="G455" s="239">
        <v>4021.209922983955</v>
      </c>
    </row>
    <row r="456" spans="1:7" x14ac:dyDescent="0.25">
      <c r="A456" s="129">
        <v>23350</v>
      </c>
      <c r="B456" s="239">
        <v>1848.5648201104973</v>
      </c>
      <c r="C456" s="239">
        <v>2615.6859204810576</v>
      </c>
      <c r="D456" s="239">
        <v>3014.0636340029787</v>
      </c>
      <c r="E456" s="239">
        <v>3366.7090791813271</v>
      </c>
      <c r="F456" s="239">
        <v>3703.3799870994594</v>
      </c>
      <c r="G456" s="239">
        <v>4025.5740459771123</v>
      </c>
    </row>
    <row r="457" spans="1:7" x14ac:dyDescent="0.25">
      <c r="A457" s="129">
        <v>23400</v>
      </c>
      <c r="B457" s="239">
        <v>1850.6701361097373</v>
      </c>
      <c r="C457" s="239">
        <v>2618.5930002911336</v>
      </c>
      <c r="D457" s="239">
        <v>3017.3311790183625</v>
      </c>
      <c r="E457" s="239">
        <v>3370.3589269635104</v>
      </c>
      <c r="F457" s="239">
        <v>3707.3948196598612</v>
      </c>
      <c r="G457" s="239">
        <v>4029.9381689702691</v>
      </c>
    </row>
    <row r="458" spans="1:7" x14ac:dyDescent="0.25">
      <c r="A458" s="129">
        <v>23450</v>
      </c>
      <c r="B458" s="239">
        <v>1852.7754521089776</v>
      </c>
      <c r="C458" s="239">
        <v>2621.5000801012102</v>
      </c>
      <c r="D458" s="239">
        <v>3020.5987240337463</v>
      </c>
      <c r="E458" s="239">
        <v>3374.0087747456946</v>
      </c>
      <c r="F458" s="239">
        <v>3711.409652220264</v>
      </c>
      <c r="G458" s="239">
        <v>4034.3022919634268</v>
      </c>
    </row>
    <row r="459" spans="1:7" x14ac:dyDescent="0.25">
      <c r="A459" s="129">
        <v>23500</v>
      </c>
      <c r="B459" s="239">
        <v>1854.8807681082176</v>
      </c>
      <c r="C459" s="239">
        <v>2624.4071599112863</v>
      </c>
      <c r="D459" s="239">
        <v>3023.8662690491301</v>
      </c>
      <c r="E459" s="239">
        <v>3377.6586225278784</v>
      </c>
      <c r="F459" s="239">
        <v>3715.4244847806658</v>
      </c>
      <c r="G459" s="239">
        <v>4038.6664149565836</v>
      </c>
    </row>
    <row r="460" spans="1:7" x14ac:dyDescent="0.25">
      <c r="A460" s="129">
        <v>23550</v>
      </c>
      <c r="B460" s="239">
        <v>1856.9860841074578</v>
      </c>
      <c r="C460" s="239">
        <v>2627.3142397213624</v>
      </c>
      <c r="D460" s="239">
        <v>3027.1338140645139</v>
      </c>
      <c r="E460" s="239">
        <v>3381.3084703100621</v>
      </c>
      <c r="F460" s="239">
        <v>3719.4393173410681</v>
      </c>
      <c r="G460" s="239">
        <v>4043.0305379497408</v>
      </c>
    </row>
    <row r="461" spans="1:7" x14ac:dyDescent="0.25">
      <c r="A461" s="129">
        <v>23600</v>
      </c>
      <c r="B461" s="239">
        <v>1859.0914001066981</v>
      </c>
      <c r="C461" s="239">
        <v>2630.2213195314384</v>
      </c>
      <c r="D461" s="239">
        <v>3030.4013590798982</v>
      </c>
      <c r="E461" s="239">
        <v>3384.9583180922459</v>
      </c>
      <c r="F461" s="239">
        <v>3723.4541499014704</v>
      </c>
      <c r="G461" s="239">
        <v>4047.3946609428981</v>
      </c>
    </row>
    <row r="462" spans="1:7" x14ac:dyDescent="0.25">
      <c r="A462" s="129">
        <v>23650</v>
      </c>
      <c r="B462" s="239">
        <v>1861.1967161059383</v>
      </c>
      <c r="C462" s="239">
        <v>2633.128399341515</v>
      </c>
      <c r="D462" s="239">
        <v>3033.668904095282</v>
      </c>
      <c r="E462" s="239">
        <v>3388.6081658744297</v>
      </c>
      <c r="F462" s="239">
        <v>3727.4689824618727</v>
      </c>
      <c r="G462" s="239">
        <v>4051.7587839360549</v>
      </c>
    </row>
    <row r="463" spans="1:7" x14ac:dyDescent="0.25">
      <c r="A463" s="129">
        <v>23700</v>
      </c>
      <c r="B463" s="239">
        <v>1863.3020321051786</v>
      </c>
      <c r="C463" s="239">
        <v>2636.0354791515911</v>
      </c>
      <c r="D463" s="239">
        <v>3036.9364491106658</v>
      </c>
      <c r="E463" s="239">
        <v>3392.2580136566135</v>
      </c>
      <c r="F463" s="239">
        <v>3731.4838150222749</v>
      </c>
      <c r="G463" s="239">
        <v>4056.1229069292126</v>
      </c>
    </row>
    <row r="464" spans="1:7" x14ac:dyDescent="0.25">
      <c r="A464" s="129">
        <v>23750</v>
      </c>
      <c r="B464" s="239">
        <v>1865.4073481044186</v>
      </c>
      <c r="C464" s="239">
        <v>2638.9425589616671</v>
      </c>
      <c r="D464" s="239">
        <v>3040.2039941260496</v>
      </c>
      <c r="E464" s="239">
        <v>3395.9078614387972</v>
      </c>
      <c r="F464" s="239">
        <v>3735.4986475826768</v>
      </c>
      <c r="G464" s="239">
        <v>4060.4870299223694</v>
      </c>
    </row>
    <row r="465" spans="1:7" x14ac:dyDescent="0.25">
      <c r="A465" s="129">
        <v>23800</v>
      </c>
      <c r="B465" s="239">
        <v>1867.5126641036586</v>
      </c>
      <c r="C465" s="239">
        <v>2641.8496387717432</v>
      </c>
      <c r="D465" s="239">
        <v>3043.4715391414334</v>
      </c>
      <c r="E465" s="239">
        <v>3399.557709220981</v>
      </c>
      <c r="F465" s="239">
        <v>3739.5134801430791</v>
      </c>
      <c r="G465" s="239">
        <v>4064.8511529155267</v>
      </c>
    </row>
    <row r="466" spans="1:7" x14ac:dyDescent="0.25">
      <c r="A466" s="129">
        <v>23850</v>
      </c>
      <c r="B466" s="239">
        <v>1869.6179801028989</v>
      </c>
      <c r="C466" s="239">
        <v>2644.7567185818198</v>
      </c>
      <c r="D466" s="239">
        <v>3046.7390841568176</v>
      </c>
      <c r="E466" s="239">
        <v>3403.2075570031648</v>
      </c>
      <c r="F466" s="239">
        <v>3743.5283127034813</v>
      </c>
      <c r="G466" s="239">
        <v>4069.2152759086839</v>
      </c>
    </row>
    <row r="467" spans="1:7" x14ac:dyDescent="0.25">
      <c r="A467" s="129">
        <v>23900</v>
      </c>
      <c r="B467" s="239">
        <v>1871.7232961021391</v>
      </c>
      <c r="C467" s="239">
        <v>2647.6637983918959</v>
      </c>
      <c r="D467" s="239">
        <v>3050.0066291722014</v>
      </c>
      <c r="E467" s="239">
        <v>3406.8574047853485</v>
      </c>
      <c r="F467" s="239">
        <v>3747.5431452638832</v>
      </c>
      <c r="G467" s="239">
        <v>4073.5793989018412</v>
      </c>
    </row>
    <row r="468" spans="1:7" x14ac:dyDescent="0.25">
      <c r="A468" s="129">
        <v>23950</v>
      </c>
      <c r="B468" s="239">
        <v>1873.8286121013791</v>
      </c>
      <c r="C468" s="239">
        <v>2650.5708782019719</v>
      </c>
      <c r="D468" s="239">
        <v>3053.2741741875852</v>
      </c>
      <c r="E468" s="239">
        <v>3410.5072525675323</v>
      </c>
      <c r="F468" s="239">
        <v>3751.5579778242854</v>
      </c>
      <c r="G468" s="239">
        <v>4077.943521894998</v>
      </c>
    </row>
    <row r="469" spans="1:7" x14ac:dyDescent="0.25">
      <c r="A469" s="129">
        <v>24000</v>
      </c>
      <c r="B469" s="239">
        <v>1875.9339281006194</v>
      </c>
      <c r="C469" s="239">
        <v>2653.477958012048</v>
      </c>
      <c r="D469" s="239">
        <v>3056.541719202969</v>
      </c>
      <c r="E469" s="239">
        <v>3414.1571003497161</v>
      </c>
      <c r="F469" s="239">
        <v>3755.5728103846877</v>
      </c>
      <c r="G469" s="239">
        <v>4082.3076448881552</v>
      </c>
    </row>
    <row r="470" spans="1:7" x14ac:dyDescent="0.25">
      <c r="A470" s="129">
        <v>24050</v>
      </c>
      <c r="B470" s="239">
        <v>1878.0392440998596</v>
      </c>
      <c r="C470" s="239">
        <v>2656.3850378221241</v>
      </c>
      <c r="D470" s="239">
        <v>3059.8092642183528</v>
      </c>
      <c r="E470" s="239">
        <v>3417.8069481318998</v>
      </c>
      <c r="F470" s="239">
        <v>3759.58764294509</v>
      </c>
      <c r="G470" s="239">
        <v>4086.6717678813125</v>
      </c>
    </row>
    <row r="471" spans="1:7" x14ac:dyDescent="0.25">
      <c r="A471" s="129">
        <v>24100</v>
      </c>
      <c r="B471" s="239">
        <v>1880.1445600990996</v>
      </c>
      <c r="C471" s="239">
        <v>2659.2921176322006</v>
      </c>
      <c r="D471" s="239">
        <v>3063.0768092337366</v>
      </c>
      <c r="E471" s="239">
        <v>3421.4567959140836</v>
      </c>
      <c r="F471" s="239">
        <v>3763.6024755054918</v>
      </c>
      <c r="G471" s="239">
        <v>4091.0358908744697</v>
      </c>
    </row>
    <row r="472" spans="1:7" x14ac:dyDescent="0.25">
      <c r="A472" s="129">
        <v>24150</v>
      </c>
      <c r="B472" s="239">
        <v>1882.2498760983399</v>
      </c>
      <c r="C472" s="239">
        <v>2662.1991974422767</v>
      </c>
      <c r="D472" s="239">
        <v>3066.3443542491204</v>
      </c>
      <c r="E472" s="239">
        <v>3425.1066436962674</v>
      </c>
      <c r="F472" s="239">
        <v>3767.6173080658941</v>
      </c>
      <c r="G472" s="239">
        <v>4095.4000138676265</v>
      </c>
    </row>
    <row r="473" spans="1:7" x14ac:dyDescent="0.25">
      <c r="A473" s="129">
        <v>24200</v>
      </c>
      <c r="B473" s="239">
        <v>1884.3551920975801</v>
      </c>
      <c r="C473" s="239">
        <v>2665.1062772523528</v>
      </c>
      <c r="D473" s="239">
        <v>3069.6118992645047</v>
      </c>
      <c r="E473" s="239">
        <v>3428.7564914784516</v>
      </c>
      <c r="F473" s="239">
        <v>3771.6321406262964</v>
      </c>
      <c r="G473" s="239">
        <v>4099.7641368607838</v>
      </c>
    </row>
    <row r="474" spans="1:7" x14ac:dyDescent="0.25">
      <c r="A474" s="129">
        <v>24250</v>
      </c>
      <c r="B474" s="239">
        <v>1886.4605080968201</v>
      </c>
      <c r="C474" s="239">
        <v>2668.0133570624289</v>
      </c>
      <c r="D474" s="239">
        <v>3072.8794442798885</v>
      </c>
      <c r="E474" s="239">
        <v>3432.4063392606354</v>
      </c>
      <c r="F474" s="239">
        <v>3775.6469731866987</v>
      </c>
      <c r="G474" s="239">
        <v>4104.128259853941</v>
      </c>
    </row>
    <row r="475" spans="1:7" x14ac:dyDescent="0.25">
      <c r="A475" s="129">
        <v>24300</v>
      </c>
      <c r="B475" s="239">
        <v>1888.5658240960604</v>
      </c>
      <c r="C475" s="239">
        <v>2670.9204368725054</v>
      </c>
      <c r="D475" s="239">
        <v>3076.1469892952723</v>
      </c>
      <c r="E475" s="239">
        <v>3436.0561870428191</v>
      </c>
      <c r="F475" s="239">
        <v>3779.661805747101</v>
      </c>
      <c r="G475" s="239">
        <v>4108.4923828470983</v>
      </c>
    </row>
    <row r="476" spans="1:7" x14ac:dyDescent="0.25">
      <c r="A476" s="129">
        <v>24350</v>
      </c>
      <c r="B476" s="239">
        <v>1890.6711400953006</v>
      </c>
      <c r="C476" s="239">
        <v>2673.8275166825815</v>
      </c>
      <c r="D476" s="239">
        <v>3079.4145343106561</v>
      </c>
      <c r="E476" s="239">
        <v>3439.7060348250029</v>
      </c>
      <c r="F476" s="239">
        <v>3783.6766383075028</v>
      </c>
      <c r="G476" s="239">
        <v>4112.8565058402555</v>
      </c>
    </row>
    <row r="477" spans="1:7" x14ac:dyDescent="0.25">
      <c r="A477" s="129">
        <v>24400</v>
      </c>
      <c r="B477" s="239">
        <v>1892.7764560945407</v>
      </c>
      <c r="C477" s="239">
        <v>2676.7345964926576</v>
      </c>
      <c r="D477" s="239">
        <v>3082.6820793260399</v>
      </c>
      <c r="E477" s="239">
        <v>3443.3558826071867</v>
      </c>
      <c r="F477" s="239">
        <v>3787.6914708679051</v>
      </c>
      <c r="G477" s="239">
        <v>4117.2206288334128</v>
      </c>
    </row>
    <row r="478" spans="1:7" x14ac:dyDescent="0.25">
      <c r="A478" s="129">
        <v>24450</v>
      </c>
      <c r="B478" s="239">
        <v>1894.8817720937809</v>
      </c>
      <c r="C478" s="239">
        <v>2679.6416763027337</v>
      </c>
      <c r="D478" s="239">
        <v>3085.9496243414242</v>
      </c>
      <c r="E478" s="239">
        <v>3447.0057303893705</v>
      </c>
      <c r="F478" s="239">
        <v>3791.7063034283074</v>
      </c>
      <c r="G478" s="239">
        <v>4121.58475182657</v>
      </c>
    </row>
    <row r="479" spans="1:7" x14ac:dyDescent="0.25">
      <c r="A479" s="129">
        <v>24500</v>
      </c>
      <c r="B479" s="239">
        <v>1896.9870880930212</v>
      </c>
      <c r="C479" s="239">
        <v>2682.5487561128102</v>
      </c>
      <c r="D479" s="239">
        <v>3089.217169356808</v>
      </c>
      <c r="E479" s="239">
        <v>3450.6555781715542</v>
      </c>
      <c r="F479" s="239">
        <v>3795.7211359887096</v>
      </c>
      <c r="G479" s="239">
        <v>4125.9488748197273</v>
      </c>
    </row>
    <row r="480" spans="1:7" x14ac:dyDescent="0.25">
      <c r="A480" s="129">
        <v>24550</v>
      </c>
      <c r="B480" s="239">
        <v>1899.0924040922612</v>
      </c>
      <c r="C480" s="239">
        <v>2685.4558359228863</v>
      </c>
      <c r="D480" s="239">
        <v>3092.4847143721918</v>
      </c>
      <c r="E480" s="239">
        <v>3454.305425953738</v>
      </c>
      <c r="F480" s="239">
        <v>3799.7359685491115</v>
      </c>
      <c r="G480" s="239">
        <v>4130.3129978128836</v>
      </c>
    </row>
    <row r="481" spans="1:7" x14ac:dyDescent="0.25">
      <c r="A481" s="129">
        <v>24600</v>
      </c>
      <c r="B481" s="239">
        <v>1901.1977200915014</v>
      </c>
      <c r="C481" s="239">
        <v>2688.3629157329624</v>
      </c>
      <c r="D481" s="239">
        <v>3095.7522593875756</v>
      </c>
      <c r="E481" s="239">
        <v>3457.9552737359218</v>
      </c>
      <c r="F481" s="239">
        <v>3803.7508011095138</v>
      </c>
      <c r="G481" s="239">
        <v>4134.6771208060409</v>
      </c>
    </row>
    <row r="482" spans="1:7" x14ac:dyDescent="0.25">
      <c r="A482" s="129">
        <v>24650</v>
      </c>
      <c r="B482" s="239">
        <v>1903.3030360907414</v>
      </c>
      <c r="C482" s="239">
        <v>2691.2699955430385</v>
      </c>
      <c r="D482" s="239">
        <v>3099.0198044029594</v>
      </c>
      <c r="E482" s="239">
        <v>3461.6051215181055</v>
      </c>
      <c r="F482" s="239">
        <v>3807.7656336699156</v>
      </c>
      <c r="G482" s="239">
        <v>4139.0412437991981</v>
      </c>
    </row>
    <row r="483" spans="1:7" x14ac:dyDescent="0.25">
      <c r="A483" s="129">
        <v>24700</v>
      </c>
      <c r="B483" s="239">
        <v>1905.4083520899817</v>
      </c>
      <c r="C483" s="239">
        <v>2694.1770753531146</v>
      </c>
      <c r="D483" s="239">
        <v>3102.2873494183432</v>
      </c>
      <c r="E483" s="239">
        <v>3465.2549693002893</v>
      </c>
      <c r="F483" s="239">
        <v>3811.7804662303179</v>
      </c>
      <c r="G483" s="239">
        <v>4143.4053667923554</v>
      </c>
    </row>
    <row r="484" spans="1:7" x14ac:dyDescent="0.25">
      <c r="A484" s="129">
        <v>24750</v>
      </c>
      <c r="B484" s="239">
        <v>1907.5136680892219</v>
      </c>
      <c r="C484" s="239">
        <v>2697.0841551631911</v>
      </c>
      <c r="D484" s="239">
        <v>3105.554894433727</v>
      </c>
      <c r="E484" s="239">
        <v>3468.9048170824731</v>
      </c>
      <c r="F484" s="239">
        <v>3815.7952987907202</v>
      </c>
      <c r="G484" s="239">
        <v>4147.7694897855126</v>
      </c>
    </row>
    <row r="485" spans="1:7" x14ac:dyDescent="0.25">
      <c r="A485" s="129">
        <v>24800</v>
      </c>
      <c r="B485" s="239">
        <v>1909.618984088462</v>
      </c>
      <c r="C485" s="239">
        <v>2699.9912349732667</v>
      </c>
      <c r="D485" s="239">
        <v>3108.8224394491108</v>
      </c>
      <c r="E485" s="239">
        <v>3472.5546648646568</v>
      </c>
      <c r="F485" s="239">
        <v>3819.8101313511224</v>
      </c>
      <c r="G485" s="239">
        <v>4152.1336127786699</v>
      </c>
    </row>
    <row r="486" spans="1:7" x14ac:dyDescent="0.25">
      <c r="A486" s="129">
        <v>24850</v>
      </c>
      <c r="B486" s="239">
        <v>1911.7243000877022</v>
      </c>
      <c r="C486" s="239">
        <v>2702.8983147833433</v>
      </c>
      <c r="D486" s="239">
        <v>3112.089984464495</v>
      </c>
      <c r="E486" s="239">
        <v>3476.2045126468406</v>
      </c>
      <c r="F486" s="239">
        <v>3823.8249639115247</v>
      </c>
      <c r="G486" s="239">
        <v>4156.4977357718271</v>
      </c>
    </row>
    <row r="487" spans="1:7" x14ac:dyDescent="0.25">
      <c r="A487" s="129">
        <v>24900</v>
      </c>
      <c r="B487" s="239">
        <v>1913.8296160869425</v>
      </c>
      <c r="C487" s="239">
        <v>2705.8053945934194</v>
      </c>
      <c r="D487" s="239">
        <v>3115.3575294798788</v>
      </c>
      <c r="E487" s="239">
        <v>3479.8543604290244</v>
      </c>
      <c r="F487" s="239">
        <v>3827.839796471927</v>
      </c>
      <c r="G487" s="239">
        <v>4160.8618587649844</v>
      </c>
    </row>
    <row r="488" spans="1:7" x14ac:dyDescent="0.25">
      <c r="A488" s="129">
        <v>24950</v>
      </c>
      <c r="B488" s="239">
        <v>1915.9349320861827</v>
      </c>
      <c r="C488" s="239">
        <v>2708.7124744034959</v>
      </c>
      <c r="D488" s="239">
        <v>3118.6250744952627</v>
      </c>
      <c r="E488" s="239">
        <v>3483.5042082112086</v>
      </c>
      <c r="F488" s="239">
        <v>3831.8546290323293</v>
      </c>
      <c r="G488" s="239">
        <v>4165.2259817581416</v>
      </c>
    </row>
    <row r="489" spans="1:7" x14ac:dyDescent="0.25">
      <c r="A489" s="129">
        <v>25000</v>
      </c>
      <c r="B489" s="239">
        <v>1918.0402480854227</v>
      </c>
      <c r="C489" s="239">
        <v>2711.619554213572</v>
      </c>
      <c r="D489" s="239">
        <v>3121.8926195106469</v>
      </c>
      <c r="E489" s="239">
        <v>3487.1540559933919</v>
      </c>
      <c r="F489" s="239">
        <v>3835.8694615927311</v>
      </c>
      <c r="G489" s="239">
        <v>4169.5901047512989</v>
      </c>
    </row>
    <row r="490" spans="1:7" x14ac:dyDescent="0.25">
      <c r="A490" s="129">
        <v>25050</v>
      </c>
      <c r="B490" s="239">
        <v>1920.145564084663</v>
      </c>
      <c r="C490" s="239">
        <v>2714.5266340236481</v>
      </c>
      <c r="D490" s="239">
        <v>3125.1601645260307</v>
      </c>
      <c r="E490" s="239">
        <v>3490.8039037755757</v>
      </c>
      <c r="F490" s="239">
        <v>3839.8842941531334</v>
      </c>
      <c r="G490" s="239">
        <v>4173.9542277444552</v>
      </c>
    </row>
    <row r="491" spans="1:7" x14ac:dyDescent="0.25">
      <c r="A491" s="129">
        <v>25100</v>
      </c>
      <c r="B491" s="239">
        <v>1922.2508800839032</v>
      </c>
      <c r="C491" s="239">
        <v>2717.4337138337241</v>
      </c>
      <c r="D491" s="239">
        <v>3128.4277095414145</v>
      </c>
      <c r="E491" s="239">
        <v>3494.4537515577599</v>
      </c>
      <c r="F491" s="239">
        <v>3843.8991267135357</v>
      </c>
      <c r="G491" s="239">
        <v>4178.3183507376134</v>
      </c>
    </row>
    <row r="492" spans="1:7" x14ac:dyDescent="0.25">
      <c r="A492" s="129">
        <v>25150</v>
      </c>
      <c r="B492" s="239">
        <v>1924.3561960831432</v>
      </c>
      <c r="C492" s="239">
        <v>2720.3407936438002</v>
      </c>
      <c r="D492" s="239">
        <v>3131.6952545567983</v>
      </c>
      <c r="E492" s="239">
        <v>3498.1035993399437</v>
      </c>
      <c r="F492" s="239">
        <v>3847.9139592739375</v>
      </c>
      <c r="G492" s="239">
        <v>4182.6824737307697</v>
      </c>
    </row>
    <row r="493" spans="1:7" x14ac:dyDescent="0.25">
      <c r="A493" s="129">
        <v>25200</v>
      </c>
      <c r="B493" s="239">
        <v>1926.4615120823833</v>
      </c>
      <c r="C493" s="239">
        <v>2723.2478734538763</v>
      </c>
      <c r="D493" s="239">
        <v>3134.9627995721821</v>
      </c>
      <c r="E493" s="239">
        <v>3501.753447122127</v>
      </c>
      <c r="F493" s="239">
        <v>3851.9287918343398</v>
      </c>
      <c r="G493" s="239">
        <v>4187.046596723927</v>
      </c>
    </row>
    <row r="494" spans="1:7" x14ac:dyDescent="0.25">
      <c r="A494" s="129">
        <v>25250</v>
      </c>
      <c r="B494" s="239">
        <v>1928.5668280816235</v>
      </c>
      <c r="C494" s="239">
        <v>2726.1549532639528</v>
      </c>
      <c r="D494" s="239">
        <v>3138.2303445875659</v>
      </c>
      <c r="E494" s="239">
        <v>3505.4032949043112</v>
      </c>
      <c r="F494" s="239">
        <v>3855.9436243947421</v>
      </c>
      <c r="G494" s="239">
        <v>4191.4107197170842</v>
      </c>
    </row>
    <row r="495" spans="1:7" x14ac:dyDescent="0.25">
      <c r="A495" s="129">
        <v>25300</v>
      </c>
      <c r="B495" s="239">
        <v>1930.6721440808637</v>
      </c>
      <c r="C495" s="239">
        <v>2729.0620330740289</v>
      </c>
      <c r="D495" s="239">
        <v>3141.4978896029497</v>
      </c>
      <c r="E495" s="239">
        <v>3509.053142686495</v>
      </c>
      <c r="F495" s="239">
        <v>3859.9584569551444</v>
      </c>
      <c r="G495" s="239">
        <v>4195.7748427102415</v>
      </c>
    </row>
    <row r="496" spans="1:7" x14ac:dyDescent="0.25">
      <c r="A496" s="129">
        <v>25350</v>
      </c>
      <c r="B496" s="239">
        <v>1932.7774600801038</v>
      </c>
      <c r="C496" s="239">
        <v>2731.969112884105</v>
      </c>
      <c r="D496" s="239">
        <v>3144.7654346183335</v>
      </c>
      <c r="E496" s="239">
        <v>3512.7029904686788</v>
      </c>
      <c r="F496" s="239">
        <v>3863.9732895155462</v>
      </c>
      <c r="G496" s="239">
        <v>4200.1389657033988</v>
      </c>
    </row>
    <row r="497" spans="1:7" x14ac:dyDescent="0.25">
      <c r="A497" s="129">
        <v>25400</v>
      </c>
      <c r="B497" s="239">
        <v>1934.882776079344</v>
      </c>
      <c r="C497" s="239">
        <v>2734.8761926941811</v>
      </c>
      <c r="D497" s="239">
        <v>3148.0329796337173</v>
      </c>
      <c r="E497" s="239">
        <v>3516.3528382508625</v>
      </c>
      <c r="F497" s="239">
        <v>3867.9881220759485</v>
      </c>
      <c r="G497" s="239">
        <v>4204.503088696556</v>
      </c>
    </row>
    <row r="498" spans="1:7" x14ac:dyDescent="0.25">
      <c r="A498" s="129">
        <v>25450</v>
      </c>
      <c r="B498" s="239">
        <v>1936.9880920785843</v>
      </c>
      <c r="C498" s="239">
        <v>2737.7832725042576</v>
      </c>
      <c r="D498" s="239">
        <v>3151.3005246491016</v>
      </c>
      <c r="E498" s="239">
        <v>3520.0026860330463</v>
      </c>
      <c r="F498" s="239">
        <v>3872.0029546363508</v>
      </c>
      <c r="G498" s="239">
        <v>4208.8672116897133</v>
      </c>
    </row>
    <row r="499" spans="1:7" x14ac:dyDescent="0.25">
      <c r="A499" s="129">
        <v>25500</v>
      </c>
      <c r="B499" s="239">
        <v>1939.0934080778243</v>
      </c>
      <c r="C499" s="239">
        <v>2740.6903523143337</v>
      </c>
      <c r="D499" s="239">
        <v>3154.5680696644854</v>
      </c>
      <c r="E499" s="239">
        <v>3523.6525338152301</v>
      </c>
      <c r="F499" s="239">
        <v>3876.017787196753</v>
      </c>
      <c r="G499" s="239">
        <v>4213.2313346828705</v>
      </c>
    </row>
    <row r="500" spans="1:7" x14ac:dyDescent="0.25">
      <c r="A500" s="129">
        <v>25550</v>
      </c>
      <c r="B500" s="239">
        <v>1941.1987240770645</v>
      </c>
      <c r="C500" s="239">
        <v>2743.5974321244098</v>
      </c>
      <c r="D500" s="239">
        <v>3157.8356146798692</v>
      </c>
      <c r="E500" s="239">
        <v>3527.3023815974138</v>
      </c>
      <c r="F500" s="239">
        <v>3880.0326197571549</v>
      </c>
      <c r="G500" s="239">
        <v>4217.5954576760269</v>
      </c>
    </row>
    <row r="501" spans="1:7" x14ac:dyDescent="0.25">
      <c r="A501" s="129">
        <v>25600</v>
      </c>
      <c r="B501" s="239">
        <v>1943.3040400763045</v>
      </c>
      <c r="C501" s="239">
        <v>2746.5045119344859</v>
      </c>
      <c r="D501" s="239">
        <v>3161.103159695253</v>
      </c>
      <c r="E501" s="239">
        <v>3530.9522293795976</v>
      </c>
      <c r="F501" s="239">
        <v>3884.0474523175571</v>
      </c>
      <c r="G501" s="239">
        <v>4221.9595806691841</v>
      </c>
    </row>
    <row r="502" spans="1:7" x14ac:dyDescent="0.25">
      <c r="A502" s="129">
        <v>25650</v>
      </c>
      <c r="B502" s="239">
        <v>1945.4093560755448</v>
      </c>
      <c r="C502" s="239">
        <v>2749.4115917445624</v>
      </c>
      <c r="D502" s="239">
        <v>3164.3707047106373</v>
      </c>
      <c r="E502" s="239">
        <v>3534.6020771617814</v>
      </c>
      <c r="F502" s="239">
        <v>3888.0622848779594</v>
      </c>
      <c r="G502" s="239">
        <v>4226.3237036623414</v>
      </c>
    </row>
    <row r="503" spans="1:7" x14ac:dyDescent="0.25">
      <c r="A503" s="129">
        <v>25700</v>
      </c>
      <c r="B503" s="239">
        <v>1947.514672074785</v>
      </c>
      <c r="C503" s="239">
        <v>2752.3186715546385</v>
      </c>
      <c r="D503" s="239">
        <v>3167.6382497260211</v>
      </c>
      <c r="E503" s="239">
        <v>3538.2519249439652</v>
      </c>
      <c r="F503" s="239">
        <v>3892.0771174383617</v>
      </c>
      <c r="G503" s="239">
        <v>4230.6878266554986</v>
      </c>
    </row>
    <row r="504" spans="1:7" x14ac:dyDescent="0.25">
      <c r="A504" s="129">
        <v>25750</v>
      </c>
      <c r="B504" s="239">
        <v>1949.6199880740251</v>
      </c>
      <c r="C504" s="239">
        <v>2755.2257513647146</v>
      </c>
      <c r="D504" s="239">
        <v>3170.9057947414049</v>
      </c>
      <c r="E504" s="239">
        <v>3541.9017727261489</v>
      </c>
      <c r="F504" s="239">
        <v>3896.0919499987635</v>
      </c>
      <c r="G504" s="239">
        <v>4235.0519496486559</v>
      </c>
    </row>
    <row r="505" spans="1:7" x14ac:dyDescent="0.25">
      <c r="A505" s="129">
        <v>25800</v>
      </c>
      <c r="B505" s="239">
        <v>1951.7253040732653</v>
      </c>
      <c r="C505" s="239">
        <v>2758.1328311747907</v>
      </c>
      <c r="D505" s="239">
        <v>3174.1733397567887</v>
      </c>
      <c r="E505" s="239">
        <v>3545.5516205083327</v>
      </c>
      <c r="F505" s="239">
        <v>3900.1067825591658</v>
      </c>
      <c r="G505" s="239">
        <v>4239.4160726418131</v>
      </c>
    </row>
    <row r="506" spans="1:7" x14ac:dyDescent="0.25">
      <c r="A506" s="129">
        <v>25850</v>
      </c>
      <c r="B506" s="239">
        <v>1953.8306200725053</v>
      </c>
      <c r="C506" s="239">
        <v>2761.0399109848668</v>
      </c>
      <c r="D506" s="239">
        <v>3177.4408847721725</v>
      </c>
      <c r="E506" s="239">
        <v>3549.2014682905165</v>
      </c>
      <c r="F506" s="239">
        <v>3904.1216151195677</v>
      </c>
      <c r="G506" s="239">
        <v>4243.7801956349704</v>
      </c>
    </row>
    <row r="507" spans="1:7" x14ac:dyDescent="0.25">
      <c r="A507" s="129">
        <v>25900</v>
      </c>
      <c r="B507" s="239">
        <v>1955.9359360717456</v>
      </c>
      <c r="C507" s="239">
        <v>2763.9469907949428</v>
      </c>
      <c r="D507" s="239">
        <v>3180.7084297875563</v>
      </c>
      <c r="E507" s="239">
        <v>3552.8513160726998</v>
      </c>
      <c r="F507" s="239">
        <v>3908.1364476799699</v>
      </c>
      <c r="G507" s="239">
        <v>4248.1443186281267</v>
      </c>
    </row>
    <row r="508" spans="1:7" x14ac:dyDescent="0.25">
      <c r="A508" s="129">
        <v>25950</v>
      </c>
      <c r="B508" s="239">
        <v>1958.0412520709858</v>
      </c>
      <c r="C508" s="239">
        <v>2766.8540706050194</v>
      </c>
      <c r="D508" s="239">
        <v>3183.9759748029405</v>
      </c>
      <c r="E508" s="239">
        <v>3556.501163854884</v>
      </c>
      <c r="F508" s="239">
        <v>3912.1512802403722</v>
      </c>
      <c r="G508" s="239">
        <v>4252.5084416212849</v>
      </c>
    </row>
    <row r="509" spans="1:7" x14ac:dyDescent="0.25">
      <c r="A509" s="129">
        <v>26000</v>
      </c>
      <c r="B509" s="239">
        <v>1960.1465680702263</v>
      </c>
      <c r="C509" s="239">
        <v>2769.7611504150959</v>
      </c>
      <c r="D509" s="239">
        <v>3187.2435198183248</v>
      </c>
      <c r="E509" s="239">
        <v>3560.1510116370682</v>
      </c>
      <c r="F509" s="239">
        <v>3916.166112800775</v>
      </c>
      <c r="G509" s="239">
        <v>4256.8725646144421</v>
      </c>
    </row>
    <row r="510" spans="1:7" x14ac:dyDescent="0.25">
      <c r="A510" s="129">
        <v>26050</v>
      </c>
      <c r="B510" s="239">
        <v>1962.2518840694663</v>
      </c>
      <c r="C510" s="239">
        <v>2772.668230225172</v>
      </c>
      <c r="D510" s="239">
        <v>3190.5110648337086</v>
      </c>
      <c r="E510" s="239">
        <v>3563.800859419252</v>
      </c>
      <c r="F510" s="239">
        <v>3920.1809453611772</v>
      </c>
      <c r="G510" s="239">
        <v>4261.2366876075994</v>
      </c>
    </row>
    <row r="511" spans="1:7" x14ac:dyDescent="0.25">
      <c r="A511" s="129">
        <v>26100</v>
      </c>
      <c r="B511" s="239">
        <v>1964.3572000687066</v>
      </c>
      <c r="C511" s="239">
        <v>2775.5753100352481</v>
      </c>
      <c r="D511" s="239">
        <v>3193.7786098490924</v>
      </c>
      <c r="E511" s="239">
        <v>3567.4507072014358</v>
      </c>
      <c r="F511" s="239">
        <v>3924.1957779215791</v>
      </c>
      <c r="G511" s="239">
        <v>4265.6008106007566</v>
      </c>
    </row>
    <row r="512" spans="1:7" x14ac:dyDescent="0.25">
      <c r="A512" s="129">
        <v>26150</v>
      </c>
      <c r="B512" s="239">
        <v>1966.4625160679466</v>
      </c>
      <c r="C512" s="239">
        <v>2778.4823898453242</v>
      </c>
      <c r="D512" s="239">
        <v>3197.0461548644762</v>
      </c>
      <c r="E512" s="239">
        <v>3571.1005549836195</v>
      </c>
      <c r="F512" s="239">
        <v>3928.2106104819813</v>
      </c>
      <c r="G512" s="239">
        <v>4269.9649335939139</v>
      </c>
    </row>
    <row r="513" spans="1:7" x14ac:dyDescent="0.25">
      <c r="A513" s="129">
        <v>26200</v>
      </c>
      <c r="B513" s="239">
        <v>1968.5678320671868</v>
      </c>
      <c r="C513" s="239">
        <v>2781.3894696554003</v>
      </c>
      <c r="D513" s="239">
        <v>3200.31369987986</v>
      </c>
      <c r="E513" s="239">
        <v>3574.7504027658033</v>
      </c>
      <c r="F513" s="239">
        <v>3932.2254430423836</v>
      </c>
      <c r="G513" s="239">
        <v>4274.3290565870702</v>
      </c>
    </row>
    <row r="514" spans="1:7" x14ac:dyDescent="0.25">
      <c r="A514" s="129">
        <v>26250</v>
      </c>
      <c r="B514" s="239">
        <v>1970.6731480664268</v>
      </c>
      <c r="C514" s="239">
        <v>2784.2965494654763</v>
      </c>
      <c r="D514" s="239">
        <v>3203.5812448952438</v>
      </c>
      <c r="E514" s="239">
        <v>3578.4002505479871</v>
      </c>
      <c r="F514" s="239">
        <v>3936.2402756027855</v>
      </c>
      <c r="G514" s="239">
        <v>4278.6931795802275</v>
      </c>
    </row>
    <row r="515" spans="1:7" x14ac:dyDescent="0.25">
      <c r="A515" s="129">
        <v>26300</v>
      </c>
      <c r="B515" s="239">
        <v>1972.7784640656671</v>
      </c>
      <c r="C515" s="239">
        <v>2787.2036292755524</v>
      </c>
      <c r="D515" s="239">
        <v>3206.8487899106276</v>
      </c>
      <c r="E515" s="239">
        <v>3582.0500983301708</v>
      </c>
      <c r="F515" s="239">
        <v>3940.2551081631877</v>
      </c>
      <c r="G515" s="239">
        <v>4283.0573025733847</v>
      </c>
    </row>
    <row r="516" spans="1:7" x14ac:dyDescent="0.25">
      <c r="A516" s="129">
        <v>26350</v>
      </c>
      <c r="B516" s="239">
        <v>1974.8837800649071</v>
      </c>
      <c r="C516" s="239">
        <v>2790.1107090856285</v>
      </c>
      <c r="D516" s="239">
        <v>3210.1163349260114</v>
      </c>
      <c r="E516" s="239">
        <v>3585.6999461123542</v>
      </c>
      <c r="F516" s="239">
        <v>3944.2699407235896</v>
      </c>
      <c r="G516" s="239">
        <v>4287.421425566542</v>
      </c>
    </row>
    <row r="517" spans="1:7" x14ac:dyDescent="0.25">
      <c r="A517" s="129">
        <v>26400</v>
      </c>
      <c r="B517" s="239">
        <v>1976.9890960641474</v>
      </c>
      <c r="C517" s="239">
        <v>2793.0177888957051</v>
      </c>
      <c r="D517" s="239">
        <v>3213.3838799413952</v>
      </c>
      <c r="E517" s="239">
        <v>3589.3497938945384</v>
      </c>
      <c r="F517" s="239">
        <v>3948.2847732839919</v>
      </c>
      <c r="G517" s="239">
        <v>4291.7855485596992</v>
      </c>
    </row>
    <row r="518" spans="1:7" x14ac:dyDescent="0.25">
      <c r="A518" s="129">
        <v>26450</v>
      </c>
      <c r="B518" s="239">
        <v>1979.0944120633876</v>
      </c>
      <c r="C518" s="239">
        <v>2795.9248687057816</v>
      </c>
      <c r="D518" s="239">
        <v>3216.6514249567795</v>
      </c>
      <c r="E518" s="239">
        <v>3592.9996416767221</v>
      </c>
      <c r="F518" s="239">
        <v>3952.2996058443941</v>
      </c>
      <c r="G518" s="239">
        <v>4296.1496715528565</v>
      </c>
    </row>
    <row r="519" spans="1:7" x14ac:dyDescent="0.25">
      <c r="A519" s="129">
        <v>26500</v>
      </c>
      <c r="B519" s="239">
        <v>1981.1997280626279</v>
      </c>
      <c r="C519" s="239">
        <v>2798.8319485158577</v>
      </c>
      <c r="D519" s="239">
        <v>3219.9189699721633</v>
      </c>
      <c r="E519" s="239">
        <v>3596.6494894589059</v>
      </c>
      <c r="F519" s="239">
        <v>3956.3144384047964</v>
      </c>
      <c r="G519" s="239">
        <v>4300.5137945460137</v>
      </c>
    </row>
    <row r="520" spans="1:7" x14ac:dyDescent="0.25">
      <c r="A520" s="129">
        <v>26550</v>
      </c>
      <c r="B520" s="239">
        <v>1983.3050440618679</v>
      </c>
      <c r="C520" s="239">
        <v>2801.7390283259338</v>
      </c>
      <c r="D520" s="239">
        <v>3223.1865149875471</v>
      </c>
      <c r="E520" s="239">
        <v>3600.2993372410897</v>
      </c>
      <c r="F520" s="239">
        <v>3960.3292709651987</v>
      </c>
      <c r="G520" s="239">
        <v>4304.877917539171</v>
      </c>
    </row>
    <row r="521" spans="1:7" x14ac:dyDescent="0.25">
      <c r="A521" s="129">
        <v>26600</v>
      </c>
      <c r="B521" s="239">
        <v>1985.4103600611079</v>
      </c>
      <c r="C521" s="239">
        <v>2804.6461081360098</v>
      </c>
      <c r="D521" s="239">
        <v>3226.4540600029309</v>
      </c>
      <c r="E521" s="239">
        <v>3603.9491850232735</v>
      </c>
      <c r="F521" s="239">
        <v>3964.3441035256005</v>
      </c>
      <c r="G521" s="239">
        <v>4309.2420405323273</v>
      </c>
    </row>
    <row r="522" spans="1:7" x14ac:dyDescent="0.25">
      <c r="A522" s="129">
        <v>26650</v>
      </c>
      <c r="B522" s="239">
        <v>1987.5156760603481</v>
      </c>
      <c r="C522" s="239">
        <v>2807.5531879460859</v>
      </c>
      <c r="D522" s="239">
        <v>3229.7216050183147</v>
      </c>
      <c r="E522" s="239">
        <v>3607.5990328054572</v>
      </c>
      <c r="F522" s="239">
        <v>3968.3589360860028</v>
      </c>
      <c r="G522" s="239">
        <v>4313.6061635254846</v>
      </c>
    </row>
    <row r="523" spans="1:7" x14ac:dyDescent="0.25">
      <c r="A523" s="129">
        <v>26700</v>
      </c>
      <c r="B523" s="239">
        <v>1989.6209920595884</v>
      </c>
      <c r="C523" s="239">
        <v>2810.4602677561625</v>
      </c>
      <c r="D523" s="239">
        <v>3232.9891500336989</v>
      </c>
      <c r="E523" s="239">
        <v>3611.2488805876415</v>
      </c>
      <c r="F523" s="239">
        <v>3972.3737686464056</v>
      </c>
      <c r="G523" s="239">
        <v>4317.9702865186428</v>
      </c>
    </row>
    <row r="524" spans="1:7" x14ac:dyDescent="0.25">
      <c r="A524" s="129">
        <v>26750</v>
      </c>
      <c r="B524" s="239">
        <v>1991.7263080588286</v>
      </c>
      <c r="C524" s="239">
        <v>2813.3673475662385</v>
      </c>
      <c r="D524" s="239">
        <v>3236.2566950490827</v>
      </c>
      <c r="E524" s="239">
        <v>3614.8987283698252</v>
      </c>
      <c r="F524" s="239">
        <v>3976.3886012068074</v>
      </c>
      <c r="G524" s="239">
        <v>4322.3344095117991</v>
      </c>
    </row>
    <row r="525" spans="1:7" x14ac:dyDescent="0.25">
      <c r="A525" s="129">
        <v>26800</v>
      </c>
      <c r="B525" s="239">
        <v>1993.8316240580689</v>
      </c>
      <c r="C525" s="239">
        <v>2816.2744273763146</v>
      </c>
      <c r="D525" s="239">
        <v>3239.5242400644665</v>
      </c>
      <c r="E525" s="239">
        <v>3618.5485761520085</v>
      </c>
      <c r="F525" s="239">
        <v>3980.4034337672097</v>
      </c>
      <c r="G525" s="239">
        <v>4326.6985325049563</v>
      </c>
    </row>
    <row r="526" spans="1:7" x14ac:dyDescent="0.25">
      <c r="A526" s="129">
        <v>26850</v>
      </c>
      <c r="B526" s="239">
        <v>1995.9369400573089</v>
      </c>
      <c r="C526" s="239">
        <v>2819.1815071863907</v>
      </c>
      <c r="D526" s="239">
        <v>3242.7917850798503</v>
      </c>
      <c r="E526" s="239">
        <v>3622.1984239341928</v>
      </c>
      <c r="F526" s="239">
        <v>3984.4182663276115</v>
      </c>
      <c r="G526" s="239">
        <v>4331.0626554981136</v>
      </c>
    </row>
    <row r="527" spans="1:7" x14ac:dyDescent="0.25">
      <c r="A527" s="129">
        <v>26900</v>
      </c>
      <c r="B527" s="239">
        <v>1998.0422560565489</v>
      </c>
      <c r="C527" s="239">
        <v>2822.0885869964668</v>
      </c>
      <c r="D527" s="239">
        <v>3246.0593300952341</v>
      </c>
      <c r="E527" s="239">
        <v>3625.8482717163761</v>
      </c>
      <c r="F527" s="239">
        <v>3988.4330988880138</v>
      </c>
      <c r="G527" s="239">
        <v>4335.4267784912709</v>
      </c>
    </row>
    <row r="528" spans="1:7" x14ac:dyDescent="0.25">
      <c r="A528" s="129">
        <v>26950</v>
      </c>
      <c r="B528" s="239">
        <v>2000.1475720557892</v>
      </c>
      <c r="C528" s="239">
        <v>2824.9956668065429</v>
      </c>
      <c r="D528" s="239">
        <v>3249.3268751106179</v>
      </c>
      <c r="E528" s="239">
        <v>3629.4981194985598</v>
      </c>
      <c r="F528" s="239">
        <v>3992.4479314484161</v>
      </c>
      <c r="G528" s="239">
        <v>4339.7909014844281</v>
      </c>
    </row>
    <row r="529" spans="1:7" x14ac:dyDescent="0.25">
      <c r="A529" s="129">
        <v>27000</v>
      </c>
      <c r="B529" s="239">
        <v>2002.2528880550292</v>
      </c>
      <c r="C529" s="239">
        <v>2827.902746616619</v>
      </c>
      <c r="D529" s="239">
        <v>3252.5944201260018</v>
      </c>
      <c r="E529" s="239">
        <v>3633.1479672807436</v>
      </c>
      <c r="F529" s="239">
        <v>3996.4627640088179</v>
      </c>
      <c r="G529" s="239">
        <v>4344.1550244775844</v>
      </c>
    </row>
    <row r="530" spans="1:7" x14ac:dyDescent="0.25">
      <c r="A530" s="129">
        <v>27050</v>
      </c>
      <c r="B530" s="239">
        <v>2004.3582040542694</v>
      </c>
      <c r="C530" s="239">
        <v>2830.8098264266955</v>
      </c>
      <c r="D530" s="239">
        <v>3255.8619651413856</v>
      </c>
      <c r="E530" s="239">
        <v>3636.7978150629274</v>
      </c>
      <c r="F530" s="239">
        <v>4000.4775965692197</v>
      </c>
      <c r="G530" s="239">
        <v>4348.5191474707417</v>
      </c>
    </row>
    <row r="531" spans="1:7" x14ac:dyDescent="0.25">
      <c r="A531" s="129">
        <v>27100</v>
      </c>
      <c r="B531" s="239">
        <v>2006.4635200535095</v>
      </c>
      <c r="C531" s="239">
        <v>2833.7169062367711</v>
      </c>
      <c r="D531" s="239">
        <v>3259.1295101567694</v>
      </c>
      <c r="E531" s="239">
        <v>3640.4476628451112</v>
      </c>
      <c r="F531" s="239">
        <v>4004.492429129622</v>
      </c>
      <c r="G531" s="239">
        <v>4352.883270463899</v>
      </c>
    </row>
    <row r="532" spans="1:7" x14ac:dyDescent="0.25">
      <c r="A532" s="129">
        <v>27150</v>
      </c>
      <c r="B532" s="239">
        <v>2008.5688360527497</v>
      </c>
      <c r="C532" s="239">
        <v>2836.6239860468477</v>
      </c>
      <c r="D532" s="239">
        <v>3262.3970551721532</v>
      </c>
      <c r="E532" s="239">
        <v>3644.0975106272949</v>
      </c>
      <c r="F532" s="239">
        <v>4008.5072616900243</v>
      </c>
      <c r="G532" s="239">
        <v>4357.2473934570562</v>
      </c>
    </row>
    <row r="533" spans="1:7" x14ac:dyDescent="0.25">
      <c r="A533" s="129">
        <v>27200</v>
      </c>
      <c r="B533" s="239">
        <v>2010.6741520519899</v>
      </c>
      <c r="C533" s="239">
        <v>2839.5310658569242</v>
      </c>
      <c r="D533" s="239">
        <v>3265.6646001875374</v>
      </c>
      <c r="E533" s="239">
        <v>3647.7473584094791</v>
      </c>
      <c r="F533" s="239">
        <v>4012.5220942504266</v>
      </c>
      <c r="G533" s="239">
        <v>4361.6115164502135</v>
      </c>
    </row>
    <row r="534" spans="1:7" x14ac:dyDescent="0.25">
      <c r="A534" s="129">
        <v>27250</v>
      </c>
      <c r="B534" s="239">
        <v>2012.7794680512304</v>
      </c>
      <c r="C534" s="239">
        <v>2842.4381456670003</v>
      </c>
      <c r="D534" s="239">
        <v>3268.9321452029217</v>
      </c>
      <c r="E534" s="239">
        <v>3651.3972061916629</v>
      </c>
      <c r="F534" s="239">
        <v>4016.5369268108293</v>
      </c>
      <c r="G534" s="239">
        <v>4365.9756394433716</v>
      </c>
    </row>
    <row r="535" spans="1:7" x14ac:dyDescent="0.25">
      <c r="A535" s="129">
        <v>27300</v>
      </c>
      <c r="B535" s="239">
        <v>2014.8847840504704</v>
      </c>
      <c r="C535" s="239">
        <v>2845.3452254770764</v>
      </c>
      <c r="D535" s="239">
        <v>3272.1996902183055</v>
      </c>
      <c r="E535" s="239">
        <v>3655.0470539738471</v>
      </c>
      <c r="F535" s="239">
        <v>4020.5517593712316</v>
      </c>
      <c r="G535" s="239">
        <v>4370.339762436528</v>
      </c>
    </row>
    <row r="536" spans="1:7" x14ac:dyDescent="0.25">
      <c r="A536" s="129">
        <v>27350</v>
      </c>
      <c r="B536" s="239">
        <v>2016.9901000497107</v>
      </c>
      <c r="C536" s="239">
        <v>2848.2523052871529</v>
      </c>
      <c r="D536" s="239">
        <v>3275.4672352336893</v>
      </c>
      <c r="E536" s="239">
        <v>3658.6969017560305</v>
      </c>
      <c r="F536" s="239">
        <v>4024.5665919316334</v>
      </c>
      <c r="G536" s="239">
        <v>4374.7038854296852</v>
      </c>
    </row>
    <row r="537" spans="1:7" x14ac:dyDescent="0.25">
      <c r="A537" s="129">
        <v>27400</v>
      </c>
      <c r="B537" s="239">
        <v>2019.0954160489507</v>
      </c>
      <c r="C537" s="239">
        <v>2851.159385097229</v>
      </c>
      <c r="D537" s="239">
        <v>3278.7347802490731</v>
      </c>
      <c r="E537" s="239">
        <v>3662.3467495382142</v>
      </c>
      <c r="F537" s="239">
        <v>4028.5814244920357</v>
      </c>
      <c r="G537" s="239">
        <v>4379.0680084228425</v>
      </c>
    </row>
    <row r="538" spans="1:7" x14ac:dyDescent="0.25">
      <c r="A538" s="129">
        <v>27450</v>
      </c>
      <c r="B538" s="239">
        <v>2021.200732048191</v>
      </c>
      <c r="C538" s="239">
        <v>2854.0664649073051</v>
      </c>
      <c r="D538" s="239">
        <v>3282.0023252644569</v>
      </c>
      <c r="E538" s="239">
        <v>3665.996597320398</v>
      </c>
      <c r="F538" s="239">
        <v>4032.596257052438</v>
      </c>
      <c r="G538" s="239">
        <v>4383.4321314159997</v>
      </c>
    </row>
    <row r="539" spans="1:7" x14ac:dyDescent="0.25">
      <c r="A539" s="129">
        <v>27500</v>
      </c>
      <c r="B539" s="239">
        <v>2023.306048047431</v>
      </c>
      <c r="C539" s="239">
        <v>2856.9735447173812</v>
      </c>
      <c r="D539" s="239">
        <v>3285.2698702798407</v>
      </c>
      <c r="E539" s="239">
        <v>3669.6464451025818</v>
      </c>
      <c r="F539" s="239">
        <v>4036.6110896128398</v>
      </c>
      <c r="G539" s="239">
        <v>4387.796254409157</v>
      </c>
    </row>
    <row r="540" spans="1:7" x14ac:dyDescent="0.25">
      <c r="A540" s="129">
        <v>27550</v>
      </c>
      <c r="B540" s="239">
        <v>2025.4113640466712</v>
      </c>
      <c r="C540" s="239">
        <v>2859.8806245274573</v>
      </c>
      <c r="D540" s="239">
        <v>3288.5374152952245</v>
      </c>
      <c r="E540" s="239">
        <v>3673.2962928847655</v>
      </c>
      <c r="F540" s="239">
        <v>4040.6259221732421</v>
      </c>
      <c r="G540" s="239">
        <v>4392.1603774023133</v>
      </c>
    </row>
    <row r="541" spans="1:7" x14ac:dyDescent="0.25">
      <c r="A541" s="129">
        <v>27600</v>
      </c>
      <c r="B541" s="239">
        <v>2027.5166800459112</v>
      </c>
      <c r="C541" s="239">
        <v>2862.7877043375333</v>
      </c>
      <c r="D541" s="239">
        <v>3291.8049603106083</v>
      </c>
      <c r="E541" s="239">
        <v>3676.9461406669493</v>
      </c>
      <c r="F541" s="239">
        <v>4044.6407547336439</v>
      </c>
      <c r="G541" s="239">
        <v>4396.5245003954706</v>
      </c>
    </row>
    <row r="542" spans="1:7" x14ac:dyDescent="0.25">
      <c r="A542" s="129">
        <v>27650</v>
      </c>
      <c r="B542" s="239">
        <v>2029.6219960451515</v>
      </c>
      <c r="C542" s="239">
        <v>2865.6947841476094</v>
      </c>
      <c r="D542" s="239">
        <v>3295.0725053259921</v>
      </c>
      <c r="E542" s="239">
        <v>3680.5959884491331</v>
      </c>
      <c r="F542" s="239">
        <v>4048.6555872940462</v>
      </c>
      <c r="G542" s="239">
        <v>4400.8886233886278</v>
      </c>
    </row>
    <row r="543" spans="1:7" x14ac:dyDescent="0.25">
      <c r="A543" s="129">
        <v>27700</v>
      </c>
      <c r="B543" s="239">
        <v>2031.7273120443917</v>
      </c>
      <c r="C543" s="239">
        <v>2868.601863957686</v>
      </c>
      <c r="D543" s="239">
        <v>3298.3400503413764</v>
      </c>
      <c r="E543" s="239">
        <v>3684.2458362313173</v>
      </c>
      <c r="F543" s="239">
        <v>4052.6704198544485</v>
      </c>
      <c r="G543" s="239">
        <v>4405.252746381786</v>
      </c>
    </row>
    <row r="544" spans="1:7" x14ac:dyDescent="0.25">
      <c r="A544" s="129">
        <v>27750</v>
      </c>
      <c r="B544" s="239">
        <v>2033.832628043632</v>
      </c>
      <c r="C544" s="239">
        <v>2871.508943767762</v>
      </c>
      <c r="D544" s="239">
        <v>3301.6075953567602</v>
      </c>
      <c r="E544" s="239">
        <v>3687.8956840135006</v>
      </c>
      <c r="F544" s="239">
        <v>4056.6852524148508</v>
      </c>
      <c r="G544" s="239">
        <v>4409.6168693749423</v>
      </c>
    </row>
    <row r="545" spans="1:7" x14ac:dyDescent="0.25">
      <c r="A545" s="129">
        <v>27800</v>
      </c>
      <c r="B545" s="239">
        <v>2035.937944042872</v>
      </c>
      <c r="C545" s="239">
        <v>2874.4160235778381</v>
      </c>
      <c r="D545" s="239">
        <v>3304.875140372144</v>
      </c>
      <c r="E545" s="239">
        <v>3691.5455317956848</v>
      </c>
      <c r="F545" s="239">
        <v>4060.700084975253</v>
      </c>
      <c r="G545" s="239">
        <v>4413.9809923680996</v>
      </c>
    </row>
    <row r="546" spans="1:7" x14ac:dyDescent="0.25">
      <c r="A546" s="129">
        <v>27850</v>
      </c>
      <c r="B546" s="239">
        <v>2038.0432600421123</v>
      </c>
      <c r="C546" s="239">
        <v>2877.3231033879142</v>
      </c>
      <c r="D546" s="239">
        <v>3308.1426853875278</v>
      </c>
      <c r="E546" s="239">
        <v>3695.1953795778682</v>
      </c>
      <c r="F546" s="239">
        <v>4064.7149175356549</v>
      </c>
      <c r="G546" s="239">
        <v>4418.3451153612568</v>
      </c>
    </row>
    <row r="547" spans="1:7" x14ac:dyDescent="0.25">
      <c r="A547" s="129">
        <v>27900</v>
      </c>
      <c r="B547" s="239">
        <v>2040.1485760413523</v>
      </c>
      <c r="C547" s="239">
        <v>2880.2301831979903</v>
      </c>
      <c r="D547" s="239">
        <v>3311.4102304029116</v>
      </c>
      <c r="E547" s="239">
        <v>3698.8452273600519</v>
      </c>
      <c r="F547" s="239">
        <v>4068.7297500960572</v>
      </c>
      <c r="G547" s="239">
        <v>4422.7092383544141</v>
      </c>
    </row>
    <row r="548" spans="1:7" x14ac:dyDescent="0.25">
      <c r="A548" s="129">
        <v>27950</v>
      </c>
      <c r="B548" s="239">
        <v>2042.2538920405927</v>
      </c>
      <c r="C548" s="239">
        <v>2883.1372630080668</v>
      </c>
      <c r="D548" s="239">
        <v>3314.6777754182958</v>
      </c>
      <c r="E548" s="239">
        <v>3702.4950751422361</v>
      </c>
      <c r="F548" s="239">
        <v>4072.7445826564599</v>
      </c>
      <c r="G548" s="239">
        <v>4427.0733613475713</v>
      </c>
    </row>
    <row r="549" spans="1:7" x14ac:dyDescent="0.25">
      <c r="A549" s="129">
        <v>28000</v>
      </c>
      <c r="B549" s="239">
        <v>2044.3592080398328</v>
      </c>
      <c r="C549" s="239">
        <v>2886.0443428181434</v>
      </c>
      <c r="D549" s="239">
        <v>3317.9453204336796</v>
      </c>
      <c r="E549" s="239">
        <v>3706.1449229244199</v>
      </c>
      <c r="F549" s="239">
        <v>4076.7594152168617</v>
      </c>
      <c r="G549" s="239">
        <v>4431.4374843407286</v>
      </c>
    </row>
    <row r="550" spans="1:7" x14ac:dyDescent="0.25">
      <c r="A550" s="129">
        <v>28050</v>
      </c>
      <c r="B550" s="239">
        <v>2046.464524039073</v>
      </c>
      <c r="C550" s="239">
        <v>2888.951422628219</v>
      </c>
      <c r="D550" s="239">
        <v>3321.2128654490634</v>
      </c>
      <c r="E550" s="239">
        <v>3709.7947707066037</v>
      </c>
      <c r="F550" s="239">
        <v>4080.774247777264</v>
      </c>
      <c r="G550" s="239">
        <v>4435.8016073338858</v>
      </c>
    </row>
    <row r="551" spans="1:7" x14ac:dyDescent="0.25">
      <c r="A551" s="129">
        <v>28100</v>
      </c>
      <c r="B551" s="239">
        <v>2048.569840038313</v>
      </c>
      <c r="C551" s="239">
        <v>2891.8585024382955</v>
      </c>
      <c r="D551" s="239">
        <v>3324.4804104644472</v>
      </c>
      <c r="E551" s="239">
        <v>3713.4446184887875</v>
      </c>
      <c r="F551" s="239">
        <v>4084.7890803376658</v>
      </c>
      <c r="G551" s="239">
        <v>4440.1657303270422</v>
      </c>
    </row>
    <row r="552" spans="1:7" x14ac:dyDescent="0.25">
      <c r="A552" s="129">
        <v>28150</v>
      </c>
      <c r="B552" s="239">
        <v>2050.6751560375533</v>
      </c>
      <c r="C552" s="239">
        <v>2894.7655822483716</v>
      </c>
      <c r="D552" s="239">
        <v>3327.747955479831</v>
      </c>
      <c r="E552" s="239">
        <v>3717.0944662709712</v>
      </c>
      <c r="F552" s="239">
        <v>4088.8039128980681</v>
      </c>
      <c r="G552" s="239">
        <v>4444.5298533201994</v>
      </c>
    </row>
    <row r="553" spans="1:7" x14ac:dyDescent="0.25">
      <c r="A553" s="129">
        <v>28200</v>
      </c>
      <c r="B553" s="239">
        <v>2052.7804720367931</v>
      </c>
      <c r="C553" s="239">
        <v>2897.6726620584477</v>
      </c>
      <c r="D553" s="239">
        <v>3331.0155004952148</v>
      </c>
      <c r="E553" s="239">
        <v>3720.744314053155</v>
      </c>
      <c r="F553" s="239">
        <v>4092.8187454584704</v>
      </c>
      <c r="G553" s="239">
        <v>4448.8939763133567</v>
      </c>
    </row>
    <row r="554" spans="1:7" x14ac:dyDescent="0.25">
      <c r="A554" s="129">
        <v>28250</v>
      </c>
      <c r="B554" s="239">
        <v>2054.8857880360333</v>
      </c>
      <c r="C554" s="239">
        <v>2900.5797418685238</v>
      </c>
      <c r="D554" s="239">
        <v>3334.2830455105986</v>
      </c>
      <c r="E554" s="239">
        <v>3724.3941618353383</v>
      </c>
      <c r="F554" s="239">
        <v>4096.8335780188718</v>
      </c>
      <c r="G554" s="239">
        <v>4453.2580993065139</v>
      </c>
    </row>
    <row r="555" spans="1:7" x14ac:dyDescent="0.25">
      <c r="A555" s="129">
        <v>28300</v>
      </c>
      <c r="B555" s="239">
        <v>2056.9911040352736</v>
      </c>
      <c r="C555" s="239">
        <v>2903.4868216785999</v>
      </c>
      <c r="D555" s="239">
        <v>3337.5505905259824</v>
      </c>
      <c r="E555" s="239">
        <v>3728.0440096175221</v>
      </c>
      <c r="F555" s="239">
        <v>4100.8484105792741</v>
      </c>
      <c r="G555" s="239">
        <v>4457.6222222996712</v>
      </c>
    </row>
    <row r="556" spans="1:7" x14ac:dyDescent="0.25">
      <c r="A556" s="129">
        <v>28350</v>
      </c>
      <c r="B556" s="239">
        <v>2059.0964200345138</v>
      </c>
      <c r="C556" s="239">
        <v>2906.393901488676</v>
      </c>
      <c r="D556" s="239">
        <v>3340.8181355413662</v>
      </c>
      <c r="E556" s="239">
        <v>3731.6938573997058</v>
      </c>
      <c r="F556" s="239">
        <v>4104.8632431396763</v>
      </c>
      <c r="G556" s="239">
        <v>4461.9863452928275</v>
      </c>
    </row>
    <row r="557" spans="1:7" x14ac:dyDescent="0.25">
      <c r="A557" s="129">
        <v>28400</v>
      </c>
      <c r="B557" s="239">
        <v>2061.2017360337536</v>
      </c>
      <c r="C557" s="239">
        <v>2909.300981298752</v>
      </c>
      <c r="D557" s="239">
        <v>3344.08568055675</v>
      </c>
      <c r="E557" s="239">
        <v>3735.3437051818896</v>
      </c>
      <c r="F557" s="239">
        <v>4108.8780757000786</v>
      </c>
      <c r="G557" s="239">
        <v>4466.3504682859848</v>
      </c>
    </row>
    <row r="558" spans="1:7" x14ac:dyDescent="0.25">
      <c r="A558" s="129">
        <v>28450</v>
      </c>
      <c r="B558" s="239">
        <v>2063.3070520329943</v>
      </c>
      <c r="C558" s="239">
        <v>2912.2080611088286</v>
      </c>
      <c r="D558" s="239">
        <v>3347.3532255721343</v>
      </c>
      <c r="E558" s="239">
        <v>3738.9935529640738</v>
      </c>
      <c r="F558" s="239">
        <v>4112.8929082604809</v>
      </c>
      <c r="G558" s="239">
        <v>4470.714591279143</v>
      </c>
    </row>
    <row r="559" spans="1:7" x14ac:dyDescent="0.25">
      <c r="A559" s="129">
        <v>28500</v>
      </c>
      <c r="B559" s="239">
        <v>2065.4123680322346</v>
      </c>
      <c r="C559" s="239">
        <v>2915.1151409189051</v>
      </c>
      <c r="D559" s="239">
        <v>3350.6207705875186</v>
      </c>
      <c r="E559" s="239">
        <v>3742.6434007462581</v>
      </c>
      <c r="F559" s="239">
        <v>4116.9077408208832</v>
      </c>
      <c r="G559" s="239">
        <v>4475.0787142723002</v>
      </c>
    </row>
    <row r="560" spans="1:7" x14ac:dyDescent="0.25">
      <c r="A560" s="129">
        <v>28550</v>
      </c>
      <c r="B560" s="239">
        <v>2067.5176840314748</v>
      </c>
      <c r="C560" s="239">
        <v>2918.0222207289812</v>
      </c>
      <c r="D560" s="239">
        <v>3353.8883156029024</v>
      </c>
      <c r="E560" s="239">
        <v>3746.2932485284418</v>
      </c>
      <c r="F560" s="239">
        <v>4120.9225733812855</v>
      </c>
      <c r="G560" s="239">
        <v>4479.4428372654575</v>
      </c>
    </row>
    <row r="561" spans="1:7" x14ac:dyDescent="0.25">
      <c r="A561" s="129">
        <v>28600</v>
      </c>
      <c r="B561" s="239">
        <v>2069.623000030715</v>
      </c>
      <c r="C561" s="239">
        <v>2920.9293005390573</v>
      </c>
      <c r="D561" s="239">
        <v>3357.1558606182862</v>
      </c>
      <c r="E561" s="239">
        <v>3749.9430963106256</v>
      </c>
      <c r="F561" s="239">
        <v>4124.9374059416878</v>
      </c>
      <c r="G561" s="239">
        <v>4483.8069602586147</v>
      </c>
    </row>
    <row r="562" spans="1:7" x14ac:dyDescent="0.25">
      <c r="A562" s="129">
        <v>28650</v>
      </c>
      <c r="B562" s="239">
        <v>2071.7283160299548</v>
      </c>
      <c r="C562" s="239">
        <v>2923.8363803491334</v>
      </c>
      <c r="D562" s="239">
        <v>3360.42340563367</v>
      </c>
      <c r="E562" s="239">
        <v>3753.5929440928094</v>
      </c>
      <c r="F562" s="239">
        <v>4128.95223850209</v>
      </c>
      <c r="G562" s="239">
        <v>4488.171083251772</v>
      </c>
    </row>
    <row r="563" spans="1:7" x14ac:dyDescent="0.25">
      <c r="A563" s="129">
        <v>28700</v>
      </c>
      <c r="B563" s="239">
        <v>2073.8336320291951</v>
      </c>
      <c r="C563" s="239">
        <v>2926.7434601592095</v>
      </c>
      <c r="D563" s="239">
        <v>3363.6909506490538</v>
      </c>
      <c r="E563" s="239">
        <v>3757.2427918749927</v>
      </c>
      <c r="F563" s="239">
        <v>4132.9670710624923</v>
      </c>
      <c r="G563" s="239">
        <v>4492.5352062449283</v>
      </c>
    </row>
    <row r="564" spans="1:7" x14ac:dyDescent="0.25">
      <c r="A564" s="129">
        <v>28750</v>
      </c>
      <c r="B564" s="239">
        <v>2075.9389480284353</v>
      </c>
      <c r="C564" s="239">
        <v>2929.650539969286</v>
      </c>
      <c r="D564" s="239">
        <v>3366.9584956644376</v>
      </c>
      <c r="E564" s="239">
        <v>3760.8926396571765</v>
      </c>
      <c r="F564" s="239">
        <v>4136.9819036228946</v>
      </c>
      <c r="G564" s="239">
        <v>4496.8993292380856</v>
      </c>
    </row>
    <row r="565" spans="1:7" x14ac:dyDescent="0.25">
      <c r="A565" s="129">
        <v>28800</v>
      </c>
      <c r="B565" s="239">
        <v>2078.0442640276751</v>
      </c>
      <c r="C565" s="239">
        <v>2932.5576197793616</v>
      </c>
      <c r="D565" s="239">
        <v>3370.2260406798214</v>
      </c>
      <c r="E565" s="239">
        <v>3764.5424874393602</v>
      </c>
      <c r="F565" s="239">
        <v>4140.996736183296</v>
      </c>
      <c r="G565" s="239">
        <v>4501.2634522312428</v>
      </c>
    </row>
    <row r="566" spans="1:7" x14ac:dyDescent="0.25">
      <c r="A566" s="129">
        <v>28850</v>
      </c>
      <c r="B566" s="239">
        <v>2080.1495800269154</v>
      </c>
      <c r="C566" s="239">
        <v>2935.4646995894382</v>
      </c>
      <c r="D566" s="239">
        <v>3373.4935856952052</v>
      </c>
      <c r="E566" s="239">
        <v>3768.192335221544</v>
      </c>
      <c r="F566" s="239">
        <v>4145.0115687436983</v>
      </c>
      <c r="G566" s="239">
        <v>4505.6275752244001</v>
      </c>
    </row>
    <row r="567" spans="1:7" x14ac:dyDescent="0.25">
      <c r="A567" s="129">
        <v>28900</v>
      </c>
      <c r="B567" s="239">
        <v>2082.2548960261556</v>
      </c>
      <c r="C567" s="239">
        <v>2938.3717793995143</v>
      </c>
      <c r="D567" s="239">
        <v>3376.761130710589</v>
      </c>
      <c r="E567" s="239">
        <v>3771.8421830037278</v>
      </c>
      <c r="F567" s="239">
        <v>4149.0264013041005</v>
      </c>
      <c r="G567" s="239">
        <v>4509.9916982175573</v>
      </c>
    </row>
    <row r="568" spans="1:7" x14ac:dyDescent="0.25">
      <c r="A568" s="129">
        <v>28950</v>
      </c>
      <c r="B568" s="239">
        <v>2084.3602120253959</v>
      </c>
      <c r="C568" s="239">
        <v>2941.2788592095908</v>
      </c>
      <c r="D568" s="239">
        <v>3380.0286757259732</v>
      </c>
      <c r="E568" s="239">
        <v>3775.492030785912</v>
      </c>
      <c r="F568" s="239">
        <v>4153.0412338645028</v>
      </c>
      <c r="G568" s="239">
        <v>4514.3558212107146</v>
      </c>
    </row>
    <row r="569" spans="1:7" x14ac:dyDescent="0.25">
      <c r="A569" s="129">
        <v>29000</v>
      </c>
      <c r="B569" s="239">
        <v>2086.4655280246361</v>
      </c>
      <c r="C569" s="239">
        <v>2944.1859390196669</v>
      </c>
      <c r="D569" s="239">
        <v>3383.296220741357</v>
      </c>
      <c r="E569" s="239">
        <v>3779.1418785680958</v>
      </c>
      <c r="F569" s="239">
        <v>4157.0560664249051</v>
      </c>
      <c r="G569" s="239">
        <v>4518.7199442038718</v>
      </c>
    </row>
    <row r="570" spans="1:7" x14ac:dyDescent="0.25">
      <c r="A570" s="129">
        <v>29050</v>
      </c>
      <c r="B570" s="239">
        <v>2088.5708440238764</v>
      </c>
      <c r="C570" s="239">
        <v>2947.093018829743</v>
      </c>
      <c r="D570" s="239">
        <v>3386.5637657567408</v>
      </c>
      <c r="E570" s="239">
        <v>3782.7917263502795</v>
      </c>
      <c r="F570" s="239">
        <v>4161.0708989853074</v>
      </c>
      <c r="G570" s="239">
        <v>4523.0840671970291</v>
      </c>
    </row>
    <row r="571" spans="1:7" x14ac:dyDescent="0.25">
      <c r="A571" s="129">
        <v>29100</v>
      </c>
      <c r="B571" s="239">
        <v>2090.6761600231162</v>
      </c>
      <c r="C571" s="239">
        <v>2950.000098639819</v>
      </c>
      <c r="D571" s="239">
        <v>3389.8313107721247</v>
      </c>
      <c r="E571" s="239">
        <v>3786.4415741324628</v>
      </c>
      <c r="F571" s="239">
        <v>4165.0857315457097</v>
      </c>
      <c r="G571" s="239">
        <v>4527.4481901901854</v>
      </c>
    </row>
    <row r="572" spans="1:7" x14ac:dyDescent="0.25">
      <c r="A572" s="129">
        <v>29150</v>
      </c>
      <c r="B572" s="239">
        <v>2092.7814760223564</v>
      </c>
      <c r="C572" s="239">
        <v>2952.9071784498951</v>
      </c>
      <c r="D572" s="239">
        <v>3393.0988557875085</v>
      </c>
      <c r="E572" s="239">
        <v>3790.0914219146471</v>
      </c>
      <c r="F572" s="239">
        <v>4169.1005641061111</v>
      </c>
      <c r="G572" s="239">
        <v>4531.8123131833427</v>
      </c>
    </row>
    <row r="573" spans="1:7" x14ac:dyDescent="0.25">
      <c r="A573" s="129">
        <v>29200</v>
      </c>
      <c r="B573" s="239">
        <v>2094.8867920215966</v>
      </c>
      <c r="C573" s="239">
        <v>2955.8142582599717</v>
      </c>
      <c r="D573" s="239">
        <v>3396.3664008028927</v>
      </c>
      <c r="E573" s="239">
        <v>3793.7412696968308</v>
      </c>
      <c r="F573" s="239">
        <v>4173.1153966665142</v>
      </c>
      <c r="G573" s="239">
        <v>4536.1764361765008</v>
      </c>
    </row>
    <row r="574" spans="1:7" x14ac:dyDescent="0.25">
      <c r="A574" s="129">
        <v>29250</v>
      </c>
      <c r="B574" s="239">
        <v>2096.9921080208369</v>
      </c>
      <c r="C574" s="239">
        <v>2958.7213380700478</v>
      </c>
      <c r="D574" s="239">
        <v>3399.6339458182765</v>
      </c>
      <c r="E574" s="239">
        <v>3797.3911174790146</v>
      </c>
      <c r="F574" s="239">
        <v>4177.1302292269156</v>
      </c>
      <c r="G574" s="239">
        <v>4540.5405591696572</v>
      </c>
    </row>
    <row r="575" spans="1:7" x14ac:dyDescent="0.25">
      <c r="A575" s="129">
        <v>29300</v>
      </c>
      <c r="B575" s="239">
        <v>2099.0974240200771</v>
      </c>
      <c r="C575" s="239">
        <v>2961.6284178801238</v>
      </c>
      <c r="D575" s="239">
        <v>3402.9014908336603</v>
      </c>
      <c r="E575" s="239">
        <v>3801.0409652611984</v>
      </c>
      <c r="F575" s="239">
        <v>4181.1450617873179</v>
      </c>
      <c r="G575" s="239">
        <v>4544.9046821628144</v>
      </c>
    </row>
    <row r="576" spans="1:7" x14ac:dyDescent="0.25">
      <c r="A576" s="129">
        <v>29350</v>
      </c>
      <c r="B576" s="239">
        <v>2101.2027400193174</v>
      </c>
      <c r="C576" s="239">
        <v>2964.5354976901999</v>
      </c>
      <c r="D576" s="239">
        <v>3406.1690358490441</v>
      </c>
      <c r="E576" s="239">
        <v>3804.6908130433821</v>
      </c>
      <c r="F576" s="239">
        <v>4185.1598943477202</v>
      </c>
      <c r="G576" s="239">
        <v>4549.2688051559717</v>
      </c>
    </row>
    <row r="577" spans="1:7" x14ac:dyDescent="0.25">
      <c r="A577" s="129">
        <v>29400</v>
      </c>
      <c r="B577" s="239">
        <v>2103.3080560185572</v>
      </c>
      <c r="C577" s="239">
        <v>2967.442577500276</v>
      </c>
      <c r="D577" s="239">
        <v>3409.4365808644279</v>
      </c>
      <c r="E577" s="239">
        <v>3808.3406608255659</v>
      </c>
      <c r="F577" s="239">
        <v>4189.1747269081225</v>
      </c>
      <c r="G577" s="239">
        <v>4553.6329281491289</v>
      </c>
    </row>
    <row r="578" spans="1:7" x14ac:dyDescent="0.25">
      <c r="A578" s="129">
        <v>29450</v>
      </c>
      <c r="B578" s="239">
        <v>2105.4133720177974</v>
      </c>
      <c r="C578" s="239">
        <v>2970.3496573103521</v>
      </c>
      <c r="D578" s="239">
        <v>3412.7041258798117</v>
      </c>
      <c r="E578" s="239">
        <v>3811.9905086077497</v>
      </c>
      <c r="F578" s="239">
        <v>4193.1895594685247</v>
      </c>
      <c r="G578" s="239">
        <v>4557.9970511422862</v>
      </c>
    </row>
    <row r="579" spans="1:7" x14ac:dyDescent="0.25">
      <c r="A579" s="129">
        <v>29500</v>
      </c>
      <c r="B579" s="239">
        <v>2107.5186880170377</v>
      </c>
      <c r="C579" s="239">
        <v>2973.2567371204286</v>
      </c>
      <c r="D579" s="239">
        <v>3415.9716708951955</v>
      </c>
      <c r="E579" s="239">
        <v>3815.6403563899335</v>
      </c>
      <c r="F579" s="239">
        <v>4197.204392028927</v>
      </c>
      <c r="G579" s="239">
        <v>4562.3611741354434</v>
      </c>
    </row>
    <row r="580" spans="1:7" x14ac:dyDescent="0.25">
      <c r="A580" s="129">
        <v>29550</v>
      </c>
      <c r="B580" s="239">
        <v>2109.6240040162775</v>
      </c>
      <c r="C580" s="239">
        <v>2976.1638169305043</v>
      </c>
      <c r="D580" s="239">
        <v>3419.2392159105793</v>
      </c>
      <c r="E580" s="239">
        <v>3819.2902041721172</v>
      </c>
      <c r="F580" s="239">
        <v>4201.2192245893284</v>
      </c>
      <c r="G580" s="239">
        <v>4566.7252971285998</v>
      </c>
    </row>
    <row r="581" spans="1:7" x14ac:dyDescent="0.25">
      <c r="A581" s="129">
        <v>29600</v>
      </c>
      <c r="B581" s="239">
        <v>2111.7293200155177</v>
      </c>
      <c r="C581" s="239">
        <v>2979.0708967405808</v>
      </c>
      <c r="D581" s="239">
        <v>3422.5067609259631</v>
      </c>
      <c r="E581" s="239">
        <v>3822.9400519543005</v>
      </c>
      <c r="F581" s="239">
        <v>4205.2340571497307</v>
      </c>
      <c r="G581" s="239">
        <v>4571.089420121757</v>
      </c>
    </row>
    <row r="582" spans="1:7" x14ac:dyDescent="0.25">
      <c r="A582" s="129">
        <v>29650</v>
      </c>
      <c r="B582" s="239">
        <v>2113.834636014758</v>
      </c>
      <c r="C582" s="239">
        <v>2981.9779765506569</v>
      </c>
      <c r="D582" s="239">
        <v>3425.7743059413469</v>
      </c>
      <c r="E582" s="239">
        <v>3826.5898997364848</v>
      </c>
      <c r="F582" s="239">
        <v>4209.248889710133</v>
      </c>
      <c r="G582" s="239">
        <v>4575.4535431149143</v>
      </c>
    </row>
    <row r="583" spans="1:7" x14ac:dyDescent="0.25">
      <c r="A583" s="129">
        <v>29700</v>
      </c>
      <c r="B583" s="239">
        <v>2115.9399520139982</v>
      </c>
      <c r="C583" s="239">
        <v>2984.8850563607334</v>
      </c>
      <c r="D583" s="239">
        <v>3429.0418509567312</v>
      </c>
      <c r="E583" s="239">
        <v>3830.2397475186685</v>
      </c>
      <c r="F583" s="239">
        <v>4213.2637222705353</v>
      </c>
      <c r="G583" s="239">
        <v>4579.8176661080715</v>
      </c>
    </row>
    <row r="584" spans="1:7" x14ac:dyDescent="0.25">
      <c r="A584" s="129">
        <v>29750</v>
      </c>
      <c r="B584" s="239">
        <v>2118.0452680132389</v>
      </c>
      <c r="C584" s="239">
        <v>2987.7921361708095</v>
      </c>
      <c r="D584" s="239">
        <v>3432.3093959721155</v>
      </c>
      <c r="E584" s="239">
        <v>3833.8895953008528</v>
      </c>
      <c r="F584" s="239">
        <v>4217.2785548309384</v>
      </c>
      <c r="G584" s="239">
        <v>4584.1817891012297</v>
      </c>
    </row>
    <row r="585" spans="1:7" x14ac:dyDescent="0.25">
      <c r="A585" s="129">
        <v>29800</v>
      </c>
      <c r="B585" s="239">
        <v>2120.1505840124787</v>
      </c>
      <c r="C585" s="239">
        <v>2990.699215980886</v>
      </c>
      <c r="D585" s="239">
        <v>3435.5769409874993</v>
      </c>
      <c r="E585" s="239">
        <v>3837.5394430830365</v>
      </c>
      <c r="F585" s="239">
        <v>4221.2933873913398</v>
      </c>
      <c r="G585" s="239">
        <v>4588.5459120943869</v>
      </c>
    </row>
    <row r="586" spans="1:7" x14ac:dyDescent="0.25">
      <c r="A586" s="129">
        <v>29850</v>
      </c>
      <c r="B586" s="239">
        <v>2122.2559000117189</v>
      </c>
      <c r="C586" s="239">
        <v>2993.6062957909621</v>
      </c>
      <c r="D586" s="239">
        <v>3438.8444860028831</v>
      </c>
      <c r="E586" s="239">
        <v>3841.1892908652203</v>
      </c>
      <c r="F586" s="239">
        <v>4225.3082199517421</v>
      </c>
      <c r="G586" s="239">
        <v>4592.9100350875433</v>
      </c>
    </row>
    <row r="587" spans="1:7" x14ac:dyDescent="0.25">
      <c r="A587" s="129">
        <v>29900</v>
      </c>
      <c r="B587" s="239">
        <v>2124.3612160109592</v>
      </c>
      <c r="C587" s="239">
        <v>2996.5133756010382</v>
      </c>
      <c r="D587" s="239">
        <v>3442.1120310182669</v>
      </c>
      <c r="E587" s="239">
        <v>3844.8391386474041</v>
      </c>
      <c r="F587" s="239">
        <v>4229.3230525121444</v>
      </c>
      <c r="G587" s="239">
        <v>4597.2741580807005</v>
      </c>
    </row>
    <row r="588" spans="1:7" x14ac:dyDescent="0.25">
      <c r="A588" s="129">
        <v>29950</v>
      </c>
      <c r="B588" s="239">
        <v>2126.4665320101994</v>
      </c>
      <c r="C588" s="239">
        <v>2999.4204554111143</v>
      </c>
      <c r="D588" s="239">
        <v>3445.3795760336507</v>
      </c>
      <c r="E588" s="239">
        <v>3848.4889864295878</v>
      </c>
      <c r="F588" s="239">
        <v>4233.3378850725467</v>
      </c>
      <c r="G588" s="239">
        <v>4601.6382810738578</v>
      </c>
    </row>
    <row r="589" spans="1:7" ht="13.8" thickBot="1" x14ac:dyDescent="0.3">
      <c r="A589" s="131">
        <v>30000</v>
      </c>
      <c r="B589" s="239">
        <v>2128.5718480094392</v>
      </c>
      <c r="C589" s="239">
        <v>3002.3275352211904</v>
      </c>
      <c r="D589" s="239">
        <v>3448.6471210490345</v>
      </c>
      <c r="E589" s="239">
        <v>3852.1388342117716</v>
      </c>
      <c r="F589" s="239">
        <v>4237.352717632948</v>
      </c>
      <c r="G589" s="239">
        <v>4606.002404067015</v>
      </c>
    </row>
    <row r="590" spans="1:7" x14ac:dyDescent="0.25">
      <c r="A590" s="132"/>
      <c r="B590" s="132"/>
      <c r="C590" s="132"/>
      <c r="D590" s="132"/>
      <c r="E590" s="132"/>
      <c r="F590" s="132"/>
      <c r="G590" s="132"/>
    </row>
  </sheetData>
  <sheetProtection algorithmName="SHA-512" hashValue="ZZ+ImBhHxn9ByMfC45R3+H5bwCfl9zdKl2JJHjGuRGxpc3daWBa4AuyfFp6YKH7Y/KO62AXDKaWLzy3TfG0v3A==" saltValue="PSGSqNw96xDVNsqnsf+ZtA==" spinCount="100000" sheet="1" objects="1" scenarios="1"/>
  <mergeCells count="2">
    <mergeCell ref="A1:G1"/>
    <mergeCell ref="A2:G2"/>
  </mergeCells>
  <phoneticPr fontId="0" type="noConversion"/>
  <pageMargins left="0.75" right="0.75" top="0.5" bottom="0.5"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T97"/>
  <sheetViews>
    <sheetView workbookViewId="0">
      <selection activeCell="A2" sqref="A2:C2"/>
    </sheetView>
  </sheetViews>
  <sheetFormatPr defaultRowHeight="13.2" x14ac:dyDescent="0.25"/>
  <cols>
    <col min="1" max="2" width="4.6640625" style="140" customWidth="1"/>
    <col min="3" max="3" width="53.33203125" style="140" customWidth="1"/>
    <col min="4" max="4" width="43.6640625" style="140" customWidth="1"/>
    <col min="5" max="5" width="4.6640625" style="344" customWidth="1"/>
    <col min="6" max="6" width="43.88671875" style="140" bestFit="1" customWidth="1"/>
    <col min="7" max="7" width="49.6640625" style="140" bestFit="1" customWidth="1"/>
    <col min="8" max="8" width="55.109375" style="140" bestFit="1" customWidth="1"/>
    <col min="9" max="9" width="70.88671875" style="140" bestFit="1" customWidth="1"/>
    <col min="10" max="10" width="54.6640625" style="140" bestFit="1" customWidth="1"/>
    <col min="11" max="11" width="49.33203125" bestFit="1" customWidth="1"/>
    <col min="12" max="12" width="46.6640625" bestFit="1" customWidth="1"/>
    <col min="13" max="13" width="36.6640625" bestFit="1" customWidth="1"/>
    <col min="14" max="14" width="47.109375" bestFit="1" customWidth="1"/>
    <col min="15" max="15" width="58.33203125" bestFit="1" customWidth="1"/>
    <col min="16" max="16" width="56.33203125" bestFit="1" customWidth="1"/>
    <col min="17" max="17" width="47.33203125" bestFit="1" customWidth="1"/>
    <col min="18" max="18" width="62.44140625" bestFit="1" customWidth="1"/>
    <col min="19" max="19" width="42.33203125" style="354" bestFit="1" customWidth="1"/>
    <col min="20" max="20" width="67.88671875" bestFit="1" customWidth="1"/>
  </cols>
  <sheetData>
    <row r="2" spans="1:20" ht="13.8" x14ac:dyDescent="0.25">
      <c r="A2" s="1761" t="s">
        <v>461</v>
      </c>
      <c r="B2" s="1761"/>
      <c r="C2" s="1762"/>
      <c r="D2" s="168" t="str">
        <f>Worksheet!L10</f>
        <v>Maricopa</v>
      </c>
      <c r="E2" s="627"/>
      <c r="F2" s="590"/>
      <c r="G2" s="590"/>
      <c r="H2" s="590"/>
      <c r="I2" s="590"/>
      <c r="J2" s="590"/>
      <c r="K2" s="592"/>
      <c r="L2" s="592"/>
      <c r="M2" s="592"/>
      <c r="N2" s="592"/>
      <c r="O2" s="592"/>
      <c r="P2" s="592"/>
      <c r="Q2" s="592"/>
      <c r="R2" s="592"/>
      <c r="S2" s="592"/>
      <c r="T2" s="592"/>
    </row>
    <row r="3" spans="1:20" s="264" customFormat="1" x14ac:dyDescent="0.25">
      <c r="A3" s="648"/>
      <c r="B3" s="648"/>
      <c r="C3" s="656"/>
      <c r="D3" s="627"/>
      <c r="E3" s="627"/>
      <c r="F3" s="590"/>
      <c r="G3" s="590"/>
      <c r="H3" s="590"/>
      <c r="I3" s="590"/>
      <c r="J3" s="590"/>
      <c r="K3" s="592"/>
      <c r="L3" s="592"/>
      <c r="M3" s="592"/>
      <c r="N3" s="592"/>
      <c r="O3" s="592"/>
      <c r="P3" s="592"/>
      <c r="Q3" s="592"/>
      <c r="R3" s="592"/>
      <c r="S3" s="592"/>
      <c r="T3" s="592"/>
    </row>
    <row r="4" spans="1:20" s="264" customFormat="1" ht="13.8" x14ac:dyDescent="0.25">
      <c r="A4" s="394"/>
      <c r="B4" s="394"/>
      <c r="C4" s="394"/>
      <c r="D4" s="394"/>
      <c r="E4" s="719"/>
      <c r="F4" s="590"/>
      <c r="G4" s="590"/>
      <c r="H4" s="590"/>
      <c r="I4" s="590"/>
      <c r="J4" s="590"/>
      <c r="K4" s="592"/>
      <c r="L4" s="592"/>
      <c r="M4" s="592"/>
      <c r="N4" s="592"/>
      <c r="O4" s="592"/>
      <c r="P4" s="592"/>
      <c r="Q4" s="592"/>
      <c r="R4" s="592"/>
      <c r="S4" s="592"/>
      <c r="T4" s="592"/>
    </row>
    <row r="5" spans="1:20" s="264" customFormat="1" x14ac:dyDescent="0.25">
      <c r="A5" s="394"/>
      <c r="B5" s="394"/>
      <c r="C5" s="394"/>
      <c r="D5" s="394"/>
      <c r="E5" s="656"/>
      <c r="F5" s="590"/>
      <c r="G5" s="590"/>
      <c r="H5" s="590"/>
      <c r="I5" s="590"/>
      <c r="J5" s="590"/>
      <c r="K5" s="592"/>
      <c r="L5" s="592"/>
      <c r="M5" s="592"/>
      <c r="N5" s="592"/>
      <c r="O5" s="592"/>
      <c r="P5" s="592"/>
      <c r="Q5" s="592"/>
      <c r="R5" s="592"/>
      <c r="S5" s="592"/>
      <c r="T5" s="592"/>
    </row>
    <row r="6" spans="1:20" s="264" customFormat="1" x14ac:dyDescent="0.25">
      <c r="A6" s="394"/>
      <c r="B6" s="394"/>
      <c r="C6" s="394"/>
      <c r="D6" s="394"/>
      <c r="E6" s="627"/>
      <c r="F6" s="590"/>
      <c r="G6" s="590"/>
      <c r="H6" s="590"/>
      <c r="I6" s="590"/>
      <c r="J6" s="590"/>
      <c r="K6" s="592"/>
      <c r="L6" s="592"/>
      <c r="M6" s="592"/>
      <c r="N6" s="592"/>
      <c r="O6" s="592"/>
      <c r="P6" s="592"/>
      <c r="Q6" s="592"/>
      <c r="R6" s="592"/>
      <c r="S6" s="592"/>
      <c r="T6" s="592"/>
    </row>
    <row r="7" spans="1:20" s="264" customFormat="1" x14ac:dyDescent="0.25">
      <c r="A7" s="394"/>
      <c r="B7" s="394"/>
      <c r="C7" s="394"/>
      <c r="D7" s="394"/>
      <c r="E7" s="627"/>
      <c r="F7" s="590"/>
      <c r="G7" s="590"/>
      <c r="H7" s="590"/>
      <c r="I7" s="590"/>
      <c r="J7" s="590"/>
      <c r="K7" s="592"/>
      <c r="L7" s="592"/>
      <c r="M7" s="592"/>
      <c r="N7" s="592"/>
      <c r="O7" s="592"/>
      <c r="P7" s="592"/>
      <c r="Q7" s="592"/>
      <c r="R7" s="592"/>
      <c r="S7" s="592"/>
      <c r="T7" s="592"/>
    </row>
    <row r="8" spans="1:20" s="264" customFormat="1" x14ac:dyDescent="0.25">
      <c r="A8" s="648"/>
      <c r="B8" s="648"/>
      <c r="C8" s="614"/>
      <c r="D8" s="627"/>
      <c r="E8" s="627"/>
      <c r="F8" s="590"/>
      <c r="G8" s="590"/>
      <c r="H8" s="590"/>
      <c r="I8" s="590"/>
      <c r="J8" s="590"/>
      <c r="K8" s="592"/>
      <c r="L8" s="592"/>
      <c r="M8" s="592"/>
      <c r="N8" s="592"/>
      <c r="O8" s="592"/>
      <c r="P8" s="592"/>
      <c r="Q8" s="592"/>
      <c r="R8" s="592"/>
      <c r="S8" s="592"/>
      <c r="T8" s="592"/>
    </row>
    <row r="9" spans="1:20" x14ac:dyDescent="0.25">
      <c r="A9" s="590"/>
      <c r="B9" s="590"/>
      <c r="C9" s="590"/>
      <c r="D9" s="590"/>
      <c r="E9" s="242"/>
      <c r="F9" s="590"/>
      <c r="G9" s="590"/>
      <c r="H9" s="590"/>
      <c r="I9" s="590"/>
      <c r="J9" s="590"/>
      <c r="K9" s="592"/>
      <c r="L9" s="592"/>
      <c r="M9" s="592"/>
      <c r="N9" s="592"/>
      <c r="O9" s="592"/>
      <c r="P9" s="592"/>
      <c r="Q9" s="592"/>
      <c r="R9" s="592"/>
      <c r="S9" s="592"/>
      <c r="T9" s="592"/>
    </row>
    <row r="10" spans="1:20" ht="19.95" customHeight="1" x14ac:dyDescent="0.25">
      <c r="A10" s="1624" t="s">
        <v>462</v>
      </c>
      <c r="B10" s="1624"/>
      <c r="C10" s="1624"/>
      <c r="D10" s="1624"/>
      <c r="E10" s="356"/>
      <c r="F10" s="1755" t="s">
        <v>463</v>
      </c>
      <c r="G10" s="1756"/>
      <c r="H10" s="1756"/>
      <c r="I10" s="1756"/>
      <c r="J10" s="1756"/>
      <c r="K10" s="1756"/>
      <c r="L10" s="1756"/>
      <c r="M10" s="1756"/>
      <c r="N10" s="1756"/>
      <c r="O10" s="1756"/>
      <c r="P10" s="1756"/>
      <c r="Q10" s="1756"/>
      <c r="R10" s="1756"/>
      <c r="S10" s="1756"/>
      <c r="T10" s="1757"/>
    </row>
    <row r="11" spans="1:20" x14ac:dyDescent="0.25">
      <c r="A11" s="590"/>
      <c r="B11" s="1765" t="s">
        <v>354</v>
      </c>
      <c r="C11" s="1766"/>
      <c r="D11" s="358" t="str">
        <f>INDEX(F11:T11,MATCH($D$2,$F$12:$T$12,0))</f>
        <v>Arizona</v>
      </c>
      <c r="E11" s="627"/>
      <c r="F11" s="362" t="s">
        <v>464</v>
      </c>
      <c r="G11" s="363" t="s">
        <v>464</v>
      </c>
      <c r="H11" s="363" t="s">
        <v>464</v>
      </c>
      <c r="I11" s="363" t="s">
        <v>464</v>
      </c>
      <c r="J11" s="363" t="s">
        <v>464</v>
      </c>
      <c r="K11" s="363" t="s">
        <v>464</v>
      </c>
      <c r="L11" s="363" t="s">
        <v>464</v>
      </c>
      <c r="M11" s="363" t="s">
        <v>464</v>
      </c>
      <c r="N11" s="363" t="s">
        <v>464</v>
      </c>
      <c r="O11" s="363" t="s">
        <v>464</v>
      </c>
      <c r="P11" s="363" t="s">
        <v>464</v>
      </c>
      <c r="Q11" s="363" t="s">
        <v>464</v>
      </c>
      <c r="R11" s="363" t="s">
        <v>464</v>
      </c>
      <c r="S11" s="363" t="s">
        <v>464</v>
      </c>
      <c r="T11" s="363" t="s">
        <v>464</v>
      </c>
    </row>
    <row r="12" spans="1:20" x14ac:dyDescent="0.25">
      <c r="A12" s="590"/>
      <c r="B12" s="1763" t="s">
        <v>356</v>
      </c>
      <c r="C12" s="1764"/>
      <c r="D12" s="361" t="str">
        <f>D2</f>
        <v>Maricopa</v>
      </c>
      <c r="E12" s="627"/>
      <c r="F12" s="364" t="s">
        <v>465</v>
      </c>
      <c r="G12" s="365" t="s">
        <v>466</v>
      </c>
      <c r="H12" s="365" t="s">
        <v>467</v>
      </c>
      <c r="I12" s="365" t="s">
        <v>468</v>
      </c>
      <c r="J12" s="365" t="s">
        <v>469</v>
      </c>
      <c r="K12" s="365" t="s">
        <v>470</v>
      </c>
      <c r="L12" s="365" t="s">
        <v>471</v>
      </c>
      <c r="M12" s="365" t="s">
        <v>12</v>
      </c>
      <c r="N12" s="365" t="s">
        <v>472</v>
      </c>
      <c r="O12" s="365" t="s">
        <v>473</v>
      </c>
      <c r="P12" s="365" t="s">
        <v>474</v>
      </c>
      <c r="Q12" s="365" t="s">
        <v>475</v>
      </c>
      <c r="R12" s="365" t="s">
        <v>476</v>
      </c>
      <c r="S12" s="365" t="s">
        <v>477</v>
      </c>
      <c r="T12" s="365" t="s">
        <v>478</v>
      </c>
    </row>
    <row r="13" spans="1:20" x14ac:dyDescent="0.25">
      <c r="A13" s="590"/>
      <c r="B13" s="1758" t="s">
        <v>479</v>
      </c>
      <c r="C13" s="1597"/>
      <c r="D13" s="359"/>
      <c r="E13" s="588"/>
      <c r="F13" s="357"/>
      <c r="G13" s="593"/>
      <c r="H13" s="593"/>
      <c r="I13" s="593"/>
      <c r="J13" s="593"/>
      <c r="K13" s="593"/>
      <c r="L13" s="593"/>
      <c r="M13" s="593"/>
      <c r="N13" s="593"/>
      <c r="O13" s="593"/>
      <c r="P13" s="593"/>
      <c r="Q13" s="593"/>
      <c r="R13" s="593"/>
      <c r="S13" s="593"/>
      <c r="T13" s="593"/>
    </row>
    <row r="14" spans="1:20" x14ac:dyDescent="0.25">
      <c r="A14" s="590"/>
      <c r="B14" s="276"/>
      <c r="C14" s="277" t="s">
        <v>480</v>
      </c>
      <c r="D14" s="358" t="str">
        <f>INDEX(F14:T14,MATCH($D$2,$F$12:$T$12,0))</f>
        <v>Arizona</v>
      </c>
      <c r="E14" s="627"/>
      <c r="F14" s="366" t="s">
        <v>464</v>
      </c>
      <c r="G14" s="367" t="s">
        <v>464</v>
      </c>
      <c r="H14" s="367" t="s">
        <v>464</v>
      </c>
      <c r="I14" s="367" t="s">
        <v>464</v>
      </c>
      <c r="J14" s="367" t="s">
        <v>464</v>
      </c>
      <c r="K14" s="367" t="s">
        <v>464</v>
      </c>
      <c r="L14" s="367" t="s">
        <v>464</v>
      </c>
      <c r="M14" s="367" t="s">
        <v>464</v>
      </c>
      <c r="N14" s="367" t="s">
        <v>464</v>
      </c>
      <c r="O14" s="367" t="s">
        <v>464</v>
      </c>
      <c r="P14" s="367" t="s">
        <v>464</v>
      </c>
      <c r="Q14" s="367" t="s">
        <v>464</v>
      </c>
      <c r="R14" s="367" t="s">
        <v>464</v>
      </c>
      <c r="S14" s="367" t="s">
        <v>464</v>
      </c>
      <c r="T14" s="367" t="s">
        <v>464</v>
      </c>
    </row>
    <row r="15" spans="1:20" x14ac:dyDescent="0.25">
      <c r="A15" s="590"/>
      <c r="B15" s="242"/>
      <c r="C15" s="278" t="s">
        <v>481</v>
      </c>
      <c r="D15" s="358" t="str">
        <f t="shared" ref="D15:D21" si="0">INDEX(F15:T15,MATCH($D$2,$F$12:$T$12,0))</f>
        <v>fourteen (14)</v>
      </c>
      <c r="E15" s="627"/>
      <c r="F15" s="368" t="s">
        <v>482</v>
      </c>
      <c r="G15" s="369" t="s">
        <v>482</v>
      </c>
      <c r="H15" s="369" t="s">
        <v>482</v>
      </c>
      <c r="I15" s="369" t="s">
        <v>482</v>
      </c>
      <c r="J15" s="369" t="s">
        <v>482</v>
      </c>
      <c r="K15" s="369" t="s">
        <v>482</v>
      </c>
      <c r="L15" s="369" t="s">
        <v>482</v>
      </c>
      <c r="M15" s="369" t="s">
        <v>482</v>
      </c>
      <c r="N15" s="369" t="s">
        <v>482</v>
      </c>
      <c r="O15" s="369" t="s">
        <v>482</v>
      </c>
      <c r="P15" s="369" t="s">
        <v>482</v>
      </c>
      <c r="Q15" s="369" t="s">
        <v>482</v>
      </c>
      <c r="R15" s="369" t="s">
        <v>482</v>
      </c>
      <c r="S15" s="369" t="s">
        <v>482</v>
      </c>
      <c r="T15" s="369" t="s">
        <v>482</v>
      </c>
    </row>
    <row r="16" spans="1:20" x14ac:dyDescent="0.25">
      <c r="A16" s="590"/>
      <c r="B16" s="242"/>
      <c r="C16" s="278" t="s">
        <v>483</v>
      </c>
      <c r="D16" s="358" t="str">
        <f t="shared" si="0"/>
        <v>receipt of this Order</v>
      </c>
      <c r="E16" s="627"/>
      <c r="F16" s="368" t="s">
        <v>484</v>
      </c>
      <c r="G16" s="369" t="s">
        <v>484</v>
      </c>
      <c r="H16" s="369" t="s">
        <v>484</v>
      </c>
      <c r="I16" s="369" t="s">
        <v>484</v>
      </c>
      <c r="J16" s="369" t="s">
        <v>484</v>
      </c>
      <c r="K16" s="369" t="s">
        <v>484</v>
      </c>
      <c r="L16" s="369" t="s">
        <v>484</v>
      </c>
      <c r="M16" s="369" t="s">
        <v>484</v>
      </c>
      <c r="N16" s="369" t="s">
        <v>484</v>
      </c>
      <c r="O16" s="369" t="s">
        <v>484</v>
      </c>
      <c r="P16" s="369" t="s">
        <v>484</v>
      </c>
      <c r="Q16" s="369" t="s">
        <v>484</v>
      </c>
      <c r="R16" s="369" t="s">
        <v>484</v>
      </c>
      <c r="S16" s="369" t="s">
        <v>484</v>
      </c>
      <c r="T16" s="369" t="s">
        <v>484</v>
      </c>
    </row>
    <row r="17" spans="1:20" s="259" customFormat="1" x14ac:dyDescent="0.25">
      <c r="A17" s="590"/>
      <c r="B17" s="242"/>
      <c r="C17" s="278" t="s">
        <v>485</v>
      </c>
      <c r="D17" s="358" t="str">
        <f t="shared" si="0"/>
        <v>two (2)</v>
      </c>
      <c r="E17" s="627"/>
      <c r="F17" s="368" t="s">
        <v>486</v>
      </c>
      <c r="G17" s="369" t="s">
        <v>486</v>
      </c>
      <c r="H17" s="369" t="s">
        <v>486</v>
      </c>
      <c r="I17" s="369" t="s">
        <v>486</v>
      </c>
      <c r="J17" s="369" t="s">
        <v>486</v>
      </c>
      <c r="K17" s="369" t="s">
        <v>486</v>
      </c>
      <c r="L17" s="369" t="s">
        <v>486</v>
      </c>
      <c r="M17" s="369" t="s">
        <v>486</v>
      </c>
      <c r="N17" s="369" t="s">
        <v>486</v>
      </c>
      <c r="O17" s="369" t="s">
        <v>486</v>
      </c>
      <c r="P17" s="369" t="s">
        <v>486</v>
      </c>
      <c r="Q17" s="369" t="s">
        <v>486</v>
      </c>
      <c r="R17" s="369" t="s">
        <v>486</v>
      </c>
      <c r="S17" s="369" t="s">
        <v>486</v>
      </c>
      <c r="T17" s="369" t="s">
        <v>486</v>
      </c>
    </row>
    <row r="18" spans="1:20" x14ac:dyDescent="0.25">
      <c r="A18" s="590"/>
      <c r="B18" s="242"/>
      <c r="C18" s="278" t="s">
        <v>487</v>
      </c>
      <c r="D18" s="358" t="str">
        <f t="shared" si="0"/>
        <v>fifty percent (50%)</v>
      </c>
      <c r="E18" s="370"/>
      <c r="F18" s="371" t="s">
        <v>488</v>
      </c>
      <c r="G18" s="372" t="s">
        <v>488</v>
      </c>
      <c r="H18" s="372" t="s">
        <v>488</v>
      </c>
      <c r="I18" s="372" t="s">
        <v>488</v>
      </c>
      <c r="J18" s="372" t="s">
        <v>488</v>
      </c>
      <c r="K18" s="372" t="s">
        <v>488</v>
      </c>
      <c r="L18" s="372" t="s">
        <v>488</v>
      </c>
      <c r="M18" s="372" t="s">
        <v>488</v>
      </c>
      <c r="N18" s="372" t="s">
        <v>488</v>
      </c>
      <c r="O18" s="372" t="s">
        <v>488</v>
      </c>
      <c r="P18" s="372" t="s">
        <v>488</v>
      </c>
      <c r="Q18" s="372" t="s">
        <v>488</v>
      </c>
      <c r="R18" s="372" t="s">
        <v>488</v>
      </c>
      <c r="S18" s="372" t="s">
        <v>488</v>
      </c>
      <c r="T18" s="372" t="s">
        <v>488</v>
      </c>
    </row>
    <row r="19" spans="1:20" x14ac:dyDescent="0.25">
      <c r="A19" s="590"/>
      <c r="B19" s="590"/>
      <c r="C19" s="279" t="s">
        <v>489</v>
      </c>
      <c r="D19" s="358" t="str">
        <f t="shared" si="0"/>
        <v>013</v>
      </c>
      <c r="E19" s="370"/>
      <c r="F19" s="371" t="s">
        <v>490</v>
      </c>
      <c r="G19" s="372" t="s">
        <v>491</v>
      </c>
      <c r="H19" s="372" t="s">
        <v>492</v>
      </c>
      <c r="I19" s="372" t="s">
        <v>493</v>
      </c>
      <c r="J19" s="372" t="s">
        <v>494</v>
      </c>
      <c r="K19" s="372" t="s">
        <v>495</v>
      </c>
      <c r="L19" s="372" t="s">
        <v>496</v>
      </c>
      <c r="M19" s="372" t="s">
        <v>497</v>
      </c>
      <c r="N19" s="372" t="s">
        <v>498</v>
      </c>
      <c r="O19" s="372" t="s">
        <v>499</v>
      </c>
      <c r="P19" s="372" t="s">
        <v>500</v>
      </c>
      <c r="Q19" s="372" t="s">
        <v>501</v>
      </c>
      <c r="R19" s="372" t="s">
        <v>502</v>
      </c>
      <c r="S19" s="372" t="s">
        <v>503</v>
      </c>
      <c r="T19" s="372" t="s">
        <v>504</v>
      </c>
    </row>
    <row r="20" spans="1:20" x14ac:dyDescent="0.25">
      <c r="A20" s="590"/>
      <c r="B20" s="590"/>
      <c r="C20" s="279" t="s">
        <v>505</v>
      </c>
      <c r="D20" s="358" t="str">
        <f t="shared" si="0"/>
        <v>Support Payment Clearinghouse</v>
      </c>
      <c r="E20" s="627"/>
      <c r="F20" s="368" t="s">
        <v>283</v>
      </c>
      <c r="G20" s="369" t="s">
        <v>283</v>
      </c>
      <c r="H20" s="369" t="s">
        <v>283</v>
      </c>
      <c r="I20" s="369" t="s">
        <v>283</v>
      </c>
      <c r="J20" s="369" t="s">
        <v>283</v>
      </c>
      <c r="K20" s="369" t="s">
        <v>283</v>
      </c>
      <c r="L20" s="369" t="s">
        <v>283</v>
      </c>
      <c r="M20" s="369" t="s">
        <v>283</v>
      </c>
      <c r="N20" s="369" t="s">
        <v>283</v>
      </c>
      <c r="O20" s="369" t="s">
        <v>283</v>
      </c>
      <c r="P20" s="369" t="s">
        <v>283</v>
      </c>
      <c r="Q20" s="369" t="s">
        <v>283</v>
      </c>
      <c r="R20" s="369" t="s">
        <v>283</v>
      </c>
      <c r="S20" s="369" t="s">
        <v>283</v>
      </c>
      <c r="T20" s="369" t="s">
        <v>283</v>
      </c>
    </row>
    <row r="21" spans="1:20" x14ac:dyDescent="0.25">
      <c r="A21" s="590"/>
      <c r="B21" s="276"/>
      <c r="C21" s="280" t="s">
        <v>506</v>
      </c>
      <c r="D21" s="358" t="str">
        <f t="shared" si="0"/>
        <v>P.O. Box 52107, Phoenix, AZ 85072-2107</v>
      </c>
      <c r="E21" s="627"/>
      <c r="F21" s="364" t="s">
        <v>507</v>
      </c>
      <c r="G21" s="365" t="s">
        <v>507</v>
      </c>
      <c r="H21" s="365" t="s">
        <v>507</v>
      </c>
      <c r="I21" s="365" t="s">
        <v>507</v>
      </c>
      <c r="J21" s="365" t="s">
        <v>507</v>
      </c>
      <c r="K21" s="365" t="s">
        <v>507</v>
      </c>
      <c r="L21" s="365" t="s">
        <v>507</v>
      </c>
      <c r="M21" s="365" t="s">
        <v>507</v>
      </c>
      <c r="N21" s="365" t="s">
        <v>507</v>
      </c>
      <c r="O21" s="365" t="s">
        <v>507</v>
      </c>
      <c r="P21" s="365" t="s">
        <v>507</v>
      </c>
      <c r="Q21" s="365" t="s">
        <v>507</v>
      </c>
      <c r="R21" s="365" t="s">
        <v>507</v>
      </c>
      <c r="S21" s="365" t="s">
        <v>507</v>
      </c>
      <c r="T21" s="365" t="s">
        <v>507</v>
      </c>
    </row>
    <row r="22" spans="1:20" x14ac:dyDescent="0.25">
      <c r="A22" s="590"/>
      <c r="B22" s="1767" t="s">
        <v>508</v>
      </c>
      <c r="C22" s="1768"/>
      <c r="D22" s="359"/>
      <c r="E22" s="588"/>
      <c r="F22" s="357"/>
      <c r="G22" s="593"/>
      <c r="H22" s="593"/>
      <c r="I22" s="593"/>
      <c r="J22" s="593"/>
      <c r="K22" s="593"/>
      <c r="L22" s="593"/>
      <c r="M22" s="593"/>
      <c r="N22" s="593"/>
      <c r="O22" s="593"/>
      <c r="P22" s="593"/>
      <c r="Q22" s="593"/>
      <c r="R22" s="593"/>
      <c r="S22" s="593"/>
      <c r="T22" s="593"/>
    </row>
    <row r="23" spans="1:20" x14ac:dyDescent="0.25">
      <c r="A23" s="590"/>
      <c r="B23" s="1769" t="s">
        <v>509</v>
      </c>
      <c r="C23" s="1770"/>
      <c r="D23" s="358" t="str">
        <f>INDEX(F23:T23,MATCH($D$2,$F$12:$T$12,0))</f>
        <v>Clerk of Superior Court</v>
      </c>
      <c r="E23" s="627"/>
      <c r="F23" s="366" t="s">
        <v>510</v>
      </c>
      <c r="G23" s="367" t="s">
        <v>510</v>
      </c>
      <c r="H23" s="367" t="s">
        <v>510</v>
      </c>
      <c r="I23" s="367" t="s">
        <v>510</v>
      </c>
      <c r="J23" s="367" t="s">
        <v>510</v>
      </c>
      <c r="K23" s="367" t="s">
        <v>510</v>
      </c>
      <c r="L23" s="367" t="s">
        <v>510</v>
      </c>
      <c r="M23" s="367" t="s">
        <v>510</v>
      </c>
      <c r="N23" s="367" t="s">
        <v>510</v>
      </c>
      <c r="O23" s="367" t="s">
        <v>510</v>
      </c>
      <c r="P23" s="367" t="s">
        <v>510</v>
      </c>
      <c r="Q23" s="367" t="s">
        <v>510</v>
      </c>
      <c r="R23" s="367" t="s">
        <v>510</v>
      </c>
      <c r="S23" s="367" t="s">
        <v>510</v>
      </c>
      <c r="T23" s="367" t="s">
        <v>510</v>
      </c>
    </row>
    <row r="24" spans="1:20" x14ac:dyDescent="0.25">
      <c r="A24" s="590"/>
      <c r="B24" s="824"/>
      <c r="C24" s="278" t="s">
        <v>511</v>
      </c>
      <c r="D24" s="358" t="str">
        <f>INDEX(F24:T24,MATCH($D$2,$F$12:$T$12,0)) &amp; ""</f>
        <v>(602) 506-3762</v>
      </c>
      <c r="E24" s="373"/>
      <c r="F24" s="374" t="s">
        <v>512</v>
      </c>
      <c r="G24" s="375" t="s">
        <v>513</v>
      </c>
      <c r="H24" s="375" t="s">
        <v>514</v>
      </c>
      <c r="I24" s="375" t="s">
        <v>515</v>
      </c>
      <c r="J24" s="375" t="s">
        <v>516</v>
      </c>
      <c r="K24" s="375" t="s">
        <v>517</v>
      </c>
      <c r="L24" s="375" t="s">
        <v>518</v>
      </c>
      <c r="M24" s="375" t="s">
        <v>519</v>
      </c>
      <c r="N24" s="375" t="s">
        <v>520</v>
      </c>
      <c r="O24" s="375" t="s">
        <v>521</v>
      </c>
      <c r="P24" s="375" t="s">
        <v>522</v>
      </c>
      <c r="Q24" s="375" t="s">
        <v>523</v>
      </c>
      <c r="R24" s="375" t="s">
        <v>524</v>
      </c>
      <c r="S24" s="375" t="s">
        <v>525</v>
      </c>
      <c r="T24" s="375" t="s">
        <v>526</v>
      </c>
    </row>
    <row r="25" spans="1:20" x14ac:dyDescent="0.25">
      <c r="A25" s="590"/>
      <c r="B25" s="276"/>
      <c r="C25" s="278" t="s">
        <v>527</v>
      </c>
      <c r="D25" s="358" t="str">
        <f>INDEX(F25:T25,MATCH($D$2,$F$12:$T$12,0)) &amp; ""</f>
        <v>(602) 506-1937</v>
      </c>
      <c r="E25" s="373"/>
      <c r="F25" s="374" t="s">
        <v>528</v>
      </c>
      <c r="G25" s="375" t="s">
        <v>529</v>
      </c>
      <c r="H25" s="375" t="s">
        <v>530</v>
      </c>
      <c r="I25" s="375" t="s">
        <v>531</v>
      </c>
      <c r="J25" s="375" t="s">
        <v>532</v>
      </c>
      <c r="K25" s="375" t="s">
        <v>533</v>
      </c>
      <c r="L25" s="375" t="s">
        <v>534</v>
      </c>
      <c r="M25" s="375" t="s">
        <v>535</v>
      </c>
      <c r="N25" s="375" t="s">
        <v>536</v>
      </c>
      <c r="O25" s="375" t="s">
        <v>537</v>
      </c>
      <c r="P25" s="375" t="s">
        <v>538</v>
      </c>
      <c r="Q25" s="375" t="s">
        <v>539</v>
      </c>
      <c r="R25" s="375" t="s">
        <v>540</v>
      </c>
      <c r="S25" s="375" t="s">
        <v>541</v>
      </c>
      <c r="T25" s="375" t="s">
        <v>542</v>
      </c>
    </row>
    <row r="26" spans="1:20" x14ac:dyDescent="0.25">
      <c r="A26" s="590"/>
      <c r="B26" s="276"/>
      <c r="C26" s="278" t="s">
        <v>543</v>
      </c>
      <c r="D26" s="358" t="str">
        <f t="shared" ref="D26:D35" si="1">INDEX(F26:T26,MATCH($D$2,$F$12:$T$12,0))</f>
        <v>https://www.clerkofcourt.maricopa.gov/</v>
      </c>
      <c r="E26" s="376"/>
      <c r="F26" s="391" t="s">
        <v>544</v>
      </c>
      <c r="G26" s="392" t="s">
        <v>545</v>
      </c>
      <c r="H26" s="392" t="s">
        <v>546</v>
      </c>
      <c r="I26" s="392" t="s">
        <v>547</v>
      </c>
      <c r="J26" s="392" t="s">
        <v>548</v>
      </c>
      <c r="K26" s="392" t="s">
        <v>549</v>
      </c>
      <c r="L26" s="392" t="s">
        <v>550</v>
      </c>
      <c r="M26" s="392" t="s">
        <v>551</v>
      </c>
      <c r="N26" s="392" t="s">
        <v>552</v>
      </c>
      <c r="O26" s="392" t="s">
        <v>553</v>
      </c>
      <c r="P26" s="392" t="s">
        <v>554</v>
      </c>
      <c r="Q26" s="392" t="s">
        <v>555</v>
      </c>
      <c r="R26" s="392" t="s">
        <v>556</v>
      </c>
      <c r="S26" s="392" t="s">
        <v>557</v>
      </c>
      <c r="T26" s="392" t="s">
        <v>558</v>
      </c>
    </row>
    <row r="27" spans="1:20" ht="12.75" customHeight="1" x14ac:dyDescent="0.25">
      <c r="A27" s="590"/>
      <c r="B27" s="276"/>
      <c r="C27" s="281" t="s">
        <v>559</v>
      </c>
      <c r="D27" s="358" t="str">
        <f t="shared" si="1"/>
        <v>Clerk of Superior Court, Family Court Services</v>
      </c>
      <c r="E27" s="688"/>
      <c r="F27" s="377" t="s">
        <v>510</v>
      </c>
      <c r="G27" s="377" t="s">
        <v>510</v>
      </c>
      <c r="H27" s="377" t="s">
        <v>510</v>
      </c>
      <c r="I27" s="377" t="s">
        <v>510</v>
      </c>
      <c r="J27" s="377" t="s">
        <v>510</v>
      </c>
      <c r="K27" s="377" t="s">
        <v>510</v>
      </c>
      <c r="L27" s="377" t="s">
        <v>510</v>
      </c>
      <c r="M27" s="378" t="s">
        <v>560</v>
      </c>
      <c r="N27" s="377" t="s">
        <v>510</v>
      </c>
      <c r="O27" s="377" t="s">
        <v>510</v>
      </c>
      <c r="P27" s="377" t="s">
        <v>510</v>
      </c>
      <c r="Q27" s="377" t="s">
        <v>510</v>
      </c>
      <c r="R27" s="377" t="s">
        <v>510</v>
      </c>
      <c r="S27" s="377" t="s">
        <v>510</v>
      </c>
      <c r="T27" s="377" t="s">
        <v>510</v>
      </c>
    </row>
    <row r="28" spans="1:20" s="261" customFormat="1" ht="12.75" customHeight="1" x14ac:dyDescent="0.25">
      <c r="A28" s="590"/>
      <c r="B28" s="282"/>
      <c r="C28" s="281" t="s">
        <v>561</v>
      </c>
      <c r="D28" s="358" t="str">
        <f t="shared" si="1"/>
        <v>201 W. Jefferson, Phoenix, AZ 85003</v>
      </c>
      <c r="E28" s="688"/>
      <c r="F28" s="386" t="s">
        <v>562</v>
      </c>
      <c r="G28" s="387" t="s">
        <v>563</v>
      </c>
      <c r="H28" s="387" t="s">
        <v>564</v>
      </c>
      <c r="I28" s="387" t="s">
        <v>565</v>
      </c>
      <c r="J28" s="387" t="s">
        <v>566</v>
      </c>
      <c r="K28" s="387" t="s">
        <v>567</v>
      </c>
      <c r="L28" s="387" t="s">
        <v>568</v>
      </c>
      <c r="M28" s="387" t="s">
        <v>569</v>
      </c>
      <c r="N28" s="387" t="s">
        <v>570</v>
      </c>
      <c r="O28" s="387" t="s">
        <v>571</v>
      </c>
      <c r="P28" s="387" t="s">
        <v>572</v>
      </c>
      <c r="Q28" s="387" t="s">
        <v>573</v>
      </c>
      <c r="R28" s="387" t="s">
        <v>574</v>
      </c>
      <c r="S28" s="387" t="s">
        <v>575</v>
      </c>
      <c r="T28" s="387" t="s">
        <v>576</v>
      </c>
    </row>
    <row r="29" spans="1:20" x14ac:dyDescent="0.25">
      <c r="A29" s="590"/>
      <c r="B29" s="1759" t="s">
        <v>577</v>
      </c>
      <c r="C29" s="1771"/>
      <c r="D29" s="358" t="str">
        <f t="shared" si="1"/>
        <v>Clerk of Superior Court</v>
      </c>
      <c r="E29" s="627"/>
      <c r="F29" s="368" t="s">
        <v>510</v>
      </c>
      <c r="G29" s="369" t="s">
        <v>510</v>
      </c>
      <c r="H29" s="369" t="s">
        <v>510</v>
      </c>
      <c r="I29" s="369" t="s">
        <v>510</v>
      </c>
      <c r="J29" s="369" t="s">
        <v>510</v>
      </c>
      <c r="K29" s="369" t="s">
        <v>510</v>
      </c>
      <c r="L29" s="369" t="s">
        <v>510</v>
      </c>
      <c r="M29" s="369" t="s">
        <v>510</v>
      </c>
      <c r="N29" s="369" t="s">
        <v>510</v>
      </c>
      <c r="O29" s="369" t="s">
        <v>510</v>
      </c>
      <c r="P29" s="369" t="s">
        <v>510</v>
      </c>
      <c r="Q29" s="369" t="s">
        <v>510</v>
      </c>
      <c r="R29" s="369" t="s">
        <v>510</v>
      </c>
      <c r="S29" s="369" t="s">
        <v>510</v>
      </c>
      <c r="T29" s="369" t="s">
        <v>510</v>
      </c>
    </row>
    <row r="30" spans="1:20" x14ac:dyDescent="0.25">
      <c r="A30" s="590"/>
      <c r="B30" s="824"/>
      <c r="C30" s="278" t="s">
        <v>511</v>
      </c>
      <c r="D30" s="358" t="str">
        <f>INDEX(F30:T30,MATCH($D$2,$F$12:$T$12,0)) &amp; ""</f>
        <v>(602) 506-3762</v>
      </c>
      <c r="E30" s="373"/>
      <c r="F30" s="374" t="s">
        <v>512</v>
      </c>
      <c r="G30" s="375" t="s">
        <v>513</v>
      </c>
      <c r="H30" s="375" t="s">
        <v>514</v>
      </c>
      <c r="I30" s="375" t="s">
        <v>515</v>
      </c>
      <c r="J30" s="375" t="s">
        <v>516</v>
      </c>
      <c r="K30" s="375" t="s">
        <v>517</v>
      </c>
      <c r="L30" s="375" t="s">
        <v>518</v>
      </c>
      <c r="M30" s="375" t="s">
        <v>519</v>
      </c>
      <c r="N30" s="375" t="s">
        <v>520</v>
      </c>
      <c r="O30" s="375" t="s">
        <v>521</v>
      </c>
      <c r="P30" s="375" t="s">
        <v>522</v>
      </c>
      <c r="Q30" s="375" t="s">
        <v>523</v>
      </c>
      <c r="R30" s="375" t="s">
        <v>524</v>
      </c>
      <c r="S30" s="375" t="s">
        <v>525</v>
      </c>
      <c r="T30" s="375" t="s">
        <v>526</v>
      </c>
    </row>
    <row r="31" spans="1:20" x14ac:dyDescent="0.25">
      <c r="A31" s="590"/>
      <c r="B31" s="276"/>
      <c r="C31" s="278" t="s">
        <v>527</v>
      </c>
      <c r="D31" s="358" t="str">
        <f>INDEX(F31:T31,MATCH($D$2,$F$12:$T$12,0)) &amp; ""</f>
        <v>(602) 506-1937</v>
      </c>
      <c r="E31" s="373"/>
      <c r="F31" s="374" t="s">
        <v>528</v>
      </c>
      <c r="G31" s="375" t="s">
        <v>529</v>
      </c>
      <c r="H31" s="375" t="s">
        <v>530</v>
      </c>
      <c r="I31" s="375" t="s">
        <v>531</v>
      </c>
      <c r="J31" s="375" t="s">
        <v>532</v>
      </c>
      <c r="K31" s="375" t="s">
        <v>533</v>
      </c>
      <c r="L31" s="375" t="s">
        <v>534</v>
      </c>
      <c r="M31" s="375" t="s">
        <v>535</v>
      </c>
      <c r="N31" s="375" t="s">
        <v>536</v>
      </c>
      <c r="O31" s="375" t="s">
        <v>537</v>
      </c>
      <c r="P31" s="375" t="s">
        <v>538</v>
      </c>
      <c r="Q31" s="375" t="s">
        <v>539</v>
      </c>
      <c r="R31" s="375" t="s">
        <v>540</v>
      </c>
      <c r="S31" s="375" t="s">
        <v>541</v>
      </c>
      <c r="T31" s="375" t="s">
        <v>542</v>
      </c>
    </row>
    <row r="32" spans="1:20" x14ac:dyDescent="0.25">
      <c r="A32" s="590"/>
      <c r="B32" s="282"/>
      <c r="C32" s="278" t="s">
        <v>543</v>
      </c>
      <c r="D32" s="358" t="str">
        <f t="shared" si="1"/>
        <v>https://www.clerkofcourt.maricopa.gov/</v>
      </c>
      <c r="E32" s="376"/>
      <c r="F32" s="391" t="s">
        <v>544</v>
      </c>
      <c r="G32" s="392" t="s">
        <v>545</v>
      </c>
      <c r="H32" s="392" t="s">
        <v>546</v>
      </c>
      <c r="I32" s="392" t="s">
        <v>547</v>
      </c>
      <c r="J32" s="392" t="s">
        <v>548</v>
      </c>
      <c r="K32" s="392" t="s">
        <v>549</v>
      </c>
      <c r="L32" s="392" t="s">
        <v>550</v>
      </c>
      <c r="M32" s="392" t="s">
        <v>551</v>
      </c>
      <c r="N32" s="392" t="s">
        <v>552</v>
      </c>
      <c r="O32" s="392" t="s">
        <v>553</v>
      </c>
      <c r="P32" s="392" t="s">
        <v>554</v>
      </c>
      <c r="Q32" s="392" t="s">
        <v>555</v>
      </c>
      <c r="R32" s="392" t="s">
        <v>556</v>
      </c>
      <c r="S32" s="392" t="s">
        <v>557</v>
      </c>
      <c r="T32" s="392" t="s">
        <v>558</v>
      </c>
    </row>
    <row r="33" spans="2:20" x14ac:dyDescent="0.25">
      <c r="B33" s="1759" t="s">
        <v>578</v>
      </c>
      <c r="C33" s="1760"/>
      <c r="D33" s="358" t="str">
        <f t="shared" si="1"/>
        <v>Clearinghouse Fee</v>
      </c>
      <c r="E33" s="373"/>
      <c r="F33" s="374" t="s">
        <v>579</v>
      </c>
      <c r="G33" s="375" t="s">
        <v>579</v>
      </c>
      <c r="H33" s="375" t="s">
        <v>579</v>
      </c>
      <c r="I33" s="375" t="s">
        <v>579</v>
      </c>
      <c r="J33" s="375" t="s">
        <v>579</v>
      </c>
      <c r="K33" s="375" t="s">
        <v>579</v>
      </c>
      <c r="L33" s="375" t="s">
        <v>579</v>
      </c>
      <c r="M33" s="375" t="s">
        <v>579</v>
      </c>
      <c r="N33" s="375" t="s">
        <v>579</v>
      </c>
      <c r="O33" s="375" t="s">
        <v>579</v>
      </c>
      <c r="P33" s="375" t="s">
        <v>579</v>
      </c>
      <c r="Q33" s="375" t="s">
        <v>579</v>
      </c>
      <c r="R33" s="375" t="s">
        <v>579</v>
      </c>
      <c r="S33" s="375" t="s">
        <v>579</v>
      </c>
      <c r="T33" s="375" t="s">
        <v>579</v>
      </c>
    </row>
    <row r="34" spans="2:20" x14ac:dyDescent="0.25">
      <c r="B34" s="824"/>
      <c r="C34" s="353" t="s">
        <v>580</v>
      </c>
      <c r="D34" s="571">
        <f t="shared" si="1"/>
        <v>8</v>
      </c>
      <c r="E34" s="379"/>
      <c r="F34" s="380">
        <v>8</v>
      </c>
      <c r="G34" s="381">
        <v>8</v>
      </c>
      <c r="H34" s="381">
        <v>8</v>
      </c>
      <c r="I34" s="381">
        <v>8</v>
      </c>
      <c r="J34" s="381">
        <v>8</v>
      </c>
      <c r="K34" s="381">
        <v>8</v>
      </c>
      <c r="L34" s="381">
        <v>8</v>
      </c>
      <c r="M34" s="381">
        <v>8</v>
      </c>
      <c r="N34" s="381">
        <v>8</v>
      </c>
      <c r="O34" s="381">
        <v>8</v>
      </c>
      <c r="P34" s="381">
        <v>8</v>
      </c>
      <c r="Q34" s="381">
        <v>8</v>
      </c>
      <c r="R34" s="381">
        <v>8</v>
      </c>
      <c r="S34" s="381">
        <v>8</v>
      </c>
      <c r="T34" s="381">
        <v>8</v>
      </c>
    </row>
    <row r="35" spans="2:20" x14ac:dyDescent="0.25">
      <c r="B35" s="590"/>
      <c r="C35" s="360" t="s">
        <v>581</v>
      </c>
      <c r="D35" s="571">
        <f t="shared" si="1"/>
        <v>13.85</v>
      </c>
      <c r="E35" s="382"/>
      <c r="F35" s="383">
        <v>13.85</v>
      </c>
      <c r="G35" s="383">
        <v>13.85</v>
      </c>
      <c r="H35" s="383">
        <v>13.85</v>
      </c>
      <c r="I35" s="383">
        <v>13.85</v>
      </c>
      <c r="J35" s="383">
        <v>13.85</v>
      </c>
      <c r="K35" s="383">
        <v>13.85</v>
      </c>
      <c r="L35" s="383">
        <v>13.85</v>
      </c>
      <c r="M35" s="383">
        <v>13.85</v>
      </c>
      <c r="N35" s="383">
        <v>13.85</v>
      </c>
      <c r="O35" s="383">
        <v>13.85</v>
      </c>
      <c r="P35" s="383">
        <v>13.85</v>
      </c>
      <c r="Q35" s="383">
        <v>13.85</v>
      </c>
      <c r="R35" s="383">
        <v>13.85</v>
      </c>
      <c r="S35" s="383">
        <v>13.85</v>
      </c>
      <c r="T35" s="383">
        <v>13.85</v>
      </c>
    </row>
    <row r="36" spans="2:20" x14ac:dyDescent="0.25">
      <c r="B36" s="590"/>
      <c r="C36" s="590"/>
      <c r="D36" s="590"/>
      <c r="E36" s="242"/>
      <c r="F36" s="590"/>
      <c r="G36" s="590"/>
      <c r="H36" s="590"/>
      <c r="I36" s="590"/>
      <c r="J36" s="590"/>
      <c r="K36" s="592"/>
      <c r="L36" s="592"/>
      <c r="M36" s="592"/>
      <c r="N36" s="592"/>
      <c r="O36" s="592"/>
      <c r="P36" s="592"/>
      <c r="Q36" s="592"/>
      <c r="R36" s="592"/>
      <c r="S36" s="592"/>
      <c r="T36" s="592"/>
    </row>
    <row r="37" spans="2:20" x14ac:dyDescent="0.25">
      <c r="B37" s="590"/>
      <c r="C37" s="590"/>
      <c r="D37" s="590"/>
      <c r="E37" s="242"/>
      <c r="F37" s="590"/>
      <c r="G37" s="590"/>
      <c r="H37" s="590"/>
      <c r="I37" s="590"/>
      <c r="J37" s="590"/>
      <c r="K37" s="592"/>
      <c r="L37" s="592"/>
      <c r="M37" s="592"/>
      <c r="N37" s="592"/>
      <c r="O37" s="592"/>
      <c r="P37" s="592"/>
      <c r="Q37" s="592"/>
      <c r="R37" s="592"/>
      <c r="S37" s="592"/>
      <c r="T37" s="592"/>
    </row>
    <row r="38" spans="2:20" x14ac:dyDescent="0.25">
      <c r="B38" s="590"/>
      <c r="C38" s="590"/>
      <c r="D38" s="590"/>
      <c r="E38" s="242"/>
      <c r="F38" s="590"/>
      <c r="G38" s="590"/>
      <c r="H38" s="590"/>
      <c r="I38" s="590"/>
      <c r="J38" s="590"/>
      <c r="K38" s="592"/>
      <c r="L38" s="592"/>
      <c r="M38" s="592"/>
      <c r="N38" s="592"/>
      <c r="O38" s="592"/>
      <c r="P38" s="592"/>
      <c r="Q38" s="592"/>
      <c r="R38" s="592"/>
      <c r="S38" s="592"/>
      <c r="T38" s="592"/>
    </row>
    <row r="39" spans="2:20" x14ac:dyDescent="0.25">
      <c r="B39" s="590"/>
      <c r="C39" s="590"/>
      <c r="D39" s="590"/>
      <c r="E39" s="242"/>
      <c r="F39" s="590"/>
      <c r="G39" s="590"/>
      <c r="H39" s="590"/>
      <c r="I39" s="590"/>
      <c r="J39" s="590"/>
      <c r="K39" s="592"/>
      <c r="L39" s="592"/>
      <c r="M39" s="592"/>
      <c r="N39" s="592"/>
      <c r="O39" s="592"/>
      <c r="P39" s="592"/>
      <c r="Q39" s="592"/>
      <c r="R39" s="592"/>
      <c r="S39" s="592"/>
      <c r="T39" s="592"/>
    </row>
    <row r="40" spans="2:20" x14ac:dyDescent="0.25">
      <c r="B40" s="590"/>
      <c r="C40" s="590"/>
      <c r="D40" s="590"/>
      <c r="E40" s="242"/>
      <c r="F40" s="590"/>
      <c r="G40" s="590"/>
      <c r="H40" s="590"/>
      <c r="I40" s="590"/>
      <c r="J40" s="590"/>
      <c r="K40" s="592"/>
      <c r="L40" s="592"/>
      <c r="M40" s="592"/>
      <c r="N40" s="592"/>
      <c r="O40" s="592"/>
      <c r="P40" s="592"/>
      <c r="Q40" s="592"/>
      <c r="R40" s="592"/>
      <c r="S40" s="592"/>
      <c r="T40" s="592"/>
    </row>
    <row r="41" spans="2:20" x14ac:dyDescent="0.25">
      <c r="B41" s="590"/>
      <c r="C41" s="590"/>
      <c r="D41" s="590"/>
      <c r="E41" s="242"/>
      <c r="F41" s="590"/>
      <c r="G41" s="590"/>
      <c r="H41" s="590"/>
      <c r="I41" s="590"/>
      <c r="J41" s="590"/>
      <c r="K41" s="592"/>
      <c r="L41" s="592"/>
      <c r="M41" s="592"/>
      <c r="N41" s="592"/>
      <c r="O41" s="592"/>
      <c r="P41" s="592"/>
      <c r="Q41" s="592"/>
      <c r="R41" s="592"/>
      <c r="S41" s="592"/>
      <c r="T41" s="592"/>
    </row>
    <row r="42" spans="2:20" x14ac:dyDescent="0.25">
      <c r="B42" s="590"/>
      <c r="C42" s="590"/>
      <c r="D42" s="590"/>
      <c r="E42" s="242"/>
      <c r="F42" s="590"/>
      <c r="G42" s="590"/>
      <c r="H42" s="590"/>
      <c r="I42" s="590"/>
      <c r="J42" s="590"/>
      <c r="K42" s="592"/>
      <c r="L42" s="592"/>
      <c r="M42" s="592"/>
      <c r="N42" s="592"/>
      <c r="O42" s="592"/>
      <c r="P42" s="592"/>
      <c r="Q42" s="592"/>
      <c r="R42" s="592"/>
      <c r="S42" s="592"/>
      <c r="T42" s="592"/>
    </row>
    <row r="43" spans="2:20" x14ac:dyDescent="0.25">
      <c r="B43" s="590"/>
      <c r="C43" s="590"/>
      <c r="D43" s="590"/>
      <c r="E43" s="242"/>
      <c r="F43" s="590"/>
      <c r="G43" s="590"/>
      <c r="H43" s="590"/>
      <c r="I43" s="590"/>
      <c r="J43" s="590"/>
      <c r="K43" s="592"/>
      <c r="L43" s="592"/>
      <c r="M43" s="592"/>
      <c r="N43" s="592"/>
      <c r="O43" s="592"/>
      <c r="P43" s="592"/>
      <c r="Q43" s="592"/>
      <c r="R43" s="592"/>
      <c r="S43" s="592"/>
      <c r="T43" s="592"/>
    </row>
    <row r="44" spans="2:20" x14ac:dyDescent="0.25">
      <c r="B44" s="590"/>
      <c r="C44" s="590"/>
      <c r="D44" s="590"/>
      <c r="E44" s="242"/>
      <c r="F44" s="590"/>
      <c r="G44" s="590"/>
      <c r="H44" s="590"/>
      <c r="I44" s="590"/>
      <c r="J44" s="590"/>
      <c r="K44" s="592"/>
      <c r="L44" s="592"/>
      <c r="M44" s="592"/>
      <c r="N44" s="592"/>
      <c r="O44" s="592"/>
      <c r="P44" s="592"/>
      <c r="Q44" s="592"/>
      <c r="R44" s="592"/>
      <c r="S44" s="592"/>
      <c r="T44" s="592"/>
    </row>
    <row r="45" spans="2:20" x14ac:dyDescent="0.25">
      <c r="B45" s="590"/>
      <c r="C45" s="590"/>
      <c r="D45" s="590"/>
      <c r="E45" s="242"/>
      <c r="F45" s="590"/>
      <c r="G45" s="590"/>
      <c r="H45" s="590"/>
      <c r="I45" s="590"/>
      <c r="J45" s="590"/>
      <c r="K45" s="592"/>
      <c r="L45" s="592"/>
      <c r="M45" s="592"/>
      <c r="N45" s="592"/>
      <c r="O45" s="592"/>
      <c r="P45" s="592"/>
      <c r="Q45" s="592"/>
      <c r="R45" s="592"/>
      <c r="S45" s="592"/>
      <c r="T45" s="592"/>
    </row>
    <row r="46" spans="2:20" x14ac:dyDescent="0.25">
      <c r="B46" s="590"/>
      <c r="C46" s="590"/>
      <c r="D46" s="590"/>
      <c r="E46" s="242"/>
      <c r="F46" s="590"/>
      <c r="G46" s="590"/>
      <c r="H46" s="590"/>
      <c r="I46" s="590"/>
      <c r="J46" s="590"/>
      <c r="K46" s="592"/>
      <c r="L46" s="592"/>
      <c r="M46" s="592"/>
      <c r="N46" s="592"/>
      <c r="O46" s="592"/>
      <c r="P46" s="592"/>
      <c r="Q46" s="592"/>
      <c r="R46" s="592"/>
      <c r="S46" s="592"/>
      <c r="T46" s="592"/>
    </row>
    <row r="47" spans="2:20" x14ac:dyDescent="0.25">
      <c r="B47" s="590"/>
      <c r="C47" s="590"/>
      <c r="D47" s="590"/>
      <c r="E47" s="242"/>
      <c r="F47" s="590"/>
      <c r="G47" s="590"/>
      <c r="H47" s="590"/>
      <c r="I47" s="590"/>
      <c r="J47" s="590"/>
      <c r="K47" s="592"/>
      <c r="L47" s="592"/>
      <c r="M47" s="592"/>
      <c r="N47" s="592"/>
      <c r="O47" s="592"/>
      <c r="P47" s="592"/>
      <c r="Q47" s="592"/>
      <c r="R47" s="592"/>
      <c r="S47" s="592"/>
      <c r="T47" s="592"/>
    </row>
    <row r="48" spans="2:20" x14ac:dyDescent="0.25">
      <c r="B48" s="590"/>
      <c r="C48" s="590"/>
      <c r="D48" s="590"/>
      <c r="E48" s="242"/>
      <c r="F48" s="590"/>
      <c r="G48" s="590"/>
      <c r="H48" s="590"/>
      <c r="I48" s="590"/>
      <c r="J48" s="590"/>
      <c r="K48" s="592"/>
      <c r="L48" s="592"/>
      <c r="M48" s="592"/>
      <c r="N48" s="592"/>
      <c r="O48" s="592"/>
      <c r="P48" s="592"/>
      <c r="Q48" s="592"/>
      <c r="R48" s="592"/>
      <c r="S48" s="592"/>
      <c r="T48" s="592"/>
    </row>
    <row r="49" spans="5:5" x14ac:dyDescent="0.25">
      <c r="E49" s="242"/>
    </row>
    <row r="50" spans="5:5" x14ac:dyDescent="0.25">
      <c r="E50" s="242"/>
    </row>
    <row r="51" spans="5:5" x14ac:dyDescent="0.25">
      <c r="E51" s="242"/>
    </row>
    <row r="52" spans="5:5" x14ac:dyDescent="0.25">
      <c r="E52" s="242"/>
    </row>
    <row r="53" spans="5:5" x14ac:dyDescent="0.25">
      <c r="E53" s="242"/>
    </row>
    <row r="54" spans="5:5" x14ac:dyDescent="0.25">
      <c r="E54" s="242"/>
    </row>
    <row r="55" spans="5:5" x14ac:dyDescent="0.25">
      <c r="E55" s="242"/>
    </row>
    <row r="56" spans="5:5" x14ac:dyDescent="0.25">
      <c r="E56" s="242"/>
    </row>
    <row r="57" spans="5:5" x14ac:dyDescent="0.25">
      <c r="E57" s="242"/>
    </row>
    <row r="58" spans="5:5" x14ac:dyDescent="0.25">
      <c r="E58" s="242"/>
    </row>
    <row r="59" spans="5:5" x14ac:dyDescent="0.25">
      <c r="E59" s="242"/>
    </row>
    <row r="60" spans="5:5" x14ac:dyDescent="0.25">
      <c r="E60" s="242"/>
    </row>
    <row r="61" spans="5:5" x14ac:dyDescent="0.25">
      <c r="E61" s="242"/>
    </row>
    <row r="62" spans="5:5" x14ac:dyDescent="0.25">
      <c r="E62" s="242"/>
    </row>
    <row r="63" spans="5:5" x14ac:dyDescent="0.25">
      <c r="E63" s="242"/>
    </row>
    <row r="64" spans="5:5" x14ac:dyDescent="0.25">
      <c r="E64" s="242"/>
    </row>
    <row r="65" spans="5:5" x14ac:dyDescent="0.25">
      <c r="E65" s="242"/>
    </row>
    <row r="66" spans="5:5" x14ac:dyDescent="0.25">
      <c r="E66" s="242"/>
    </row>
    <row r="67" spans="5:5" x14ac:dyDescent="0.25">
      <c r="E67" s="242"/>
    </row>
    <row r="68" spans="5:5" x14ac:dyDescent="0.25">
      <c r="E68" s="242"/>
    </row>
    <row r="69" spans="5:5" x14ac:dyDescent="0.25">
      <c r="E69" s="242"/>
    </row>
    <row r="70" spans="5:5" x14ac:dyDescent="0.25">
      <c r="E70" s="242"/>
    </row>
    <row r="71" spans="5:5" x14ac:dyDescent="0.25">
      <c r="E71" s="242"/>
    </row>
    <row r="72" spans="5:5" x14ac:dyDescent="0.25">
      <c r="E72" s="242"/>
    </row>
    <row r="73" spans="5:5" x14ac:dyDescent="0.25">
      <c r="E73" s="242"/>
    </row>
    <row r="74" spans="5:5" x14ac:dyDescent="0.25">
      <c r="E74" s="242"/>
    </row>
    <row r="75" spans="5:5" x14ac:dyDescent="0.25">
      <c r="E75" s="242"/>
    </row>
    <row r="76" spans="5:5" x14ac:dyDescent="0.25">
      <c r="E76" s="242"/>
    </row>
    <row r="77" spans="5:5" x14ac:dyDescent="0.25">
      <c r="E77" s="242"/>
    </row>
    <row r="78" spans="5:5" x14ac:dyDescent="0.25">
      <c r="E78" s="242"/>
    </row>
    <row r="79" spans="5:5" x14ac:dyDescent="0.25">
      <c r="E79" s="242"/>
    </row>
    <row r="80" spans="5:5" x14ac:dyDescent="0.25">
      <c r="E80" s="242"/>
    </row>
    <row r="81" spans="5:5" x14ac:dyDescent="0.25">
      <c r="E81" s="242"/>
    </row>
    <row r="82" spans="5:5" x14ac:dyDescent="0.25">
      <c r="E82" s="242"/>
    </row>
    <row r="83" spans="5:5" x14ac:dyDescent="0.25">
      <c r="E83" s="242"/>
    </row>
    <row r="84" spans="5:5" x14ac:dyDescent="0.25">
      <c r="E84" s="242"/>
    </row>
    <row r="85" spans="5:5" x14ac:dyDescent="0.25">
      <c r="E85" s="242"/>
    </row>
    <row r="86" spans="5:5" x14ac:dyDescent="0.25">
      <c r="E86" s="242"/>
    </row>
    <row r="87" spans="5:5" x14ac:dyDescent="0.25">
      <c r="E87" s="242"/>
    </row>
    <row r="88" spans="5:5" x14ac:dyDescent="0.25">
      <c r="E88" s="242"/>
    </row>
    <row r="89" spans="5:5" x14ac:dyDescent="0.25">
      <c r="E89" s="242"/>
    </row>
    <row r="90" spans="5:5" x14ac:dyDescent="0.25">
      <c r="E90" s="242"/>
    </row>
    <row r="91" spans="5:5" x14ac:dyDescent="0.25">
      <c r="E91" s="242"/>
    </row>
    <row r="92" spans="5:5" x14ac:dyDescent="0.25">
      <c r="E92" s="242"/>
    </row>
    <row r="93" spans="5:5" x14ac:dyDescent="0.25">
      <c r="E93" s="242"/>
    </row>
    <row r="94" spans="5:5" x14ac:dyDescent="0.25">
      <c r="E94" s="242"/>
    </row>
    <row r="95" spans="5:5" x14ac:dyDescent="0.25">
      <c r="E95" s="242"/>
    </row>
    <row r="96" spans="5:5" x14ac:dyDescent="0.25">
      <c r="E96" s="242"/>
    </row>
    <row r="97" spans="5:5" x14ac:dyDescent="0.25">
      <c r="E97" s="242"/>
    </row>
  </sheetData>
  <sheetProtection algorithmName="SHA-512" hashValue="vW7ct6/jROXTGeEUwio9frdwMp2R54aT7rdHew/MDaGlLbm8IqbAY/RWeQVP+jyLsWluwlkNrUG53Mn0zI0P4A==" saltValue="tj0st/9z3XovpUdhtBWIZg==" spinCount="100000" sheet="1" objects="1" scenarios="1"/>
  <mergeCells count="10">
    <mergeCell ref="F10:T10"/>
    <mergeCell ref="B13:C13"/>
    <mergeCell ref="A10:D10"/>
    <mergeCell ref="B33:C33"/>
    <mergeCell ref="A2:C2"/>
    <mergeCell ref="B12:C12"/>
    <mergeCell ref="B11:C11"/>
    <mergeCell ref="B22:C22"/>
    <mergeCell ref="B23:C23"/>
    <mergeCell ref="B29:C29"/>
  </mergeCells>
  <dataValidations xWindow="846" yWindow="227" count="2">
    <dataValidation allowBlank="1" showInputMessage="1" showErrorMessage="1" promptTitle="County" prompt="Insert name of County that will appear in all pleadings automatically until change is made in this box.  Make sure County name appears in all CAPS." sqref="D2:E3 E6" xr:uid="{00000000-0002-0000-0C00-000000000000}"/>
    <dataValidation allowBlank="1" showInputMessage="1" showErrorMessage="1" promptTitle="Judicial Officer" prompt="Insert customized signature line for an individual judicial officer, e.g. &quot;Judge Elizabeth Jones&quot; or &quot;Honorable John Smith&quot;.  Remember to delete custom name when sharing with someone else." sqref="E7" xr:uid="{00000000-0002-0000-0C00-000001000000}"/>
  </dataValidations>
  <hyperlinks>
    <hyperlink ref="M26" r:id="rId1" xr:uid="{79FE122A-9ED1-4CAD-A61B-A9AC09605084}"/>
    <hyperlink ref="Q26" r:id="rId2" xr:uid="{74011222-37F7-4373-AB77-0F5462EE4D07}"/>
    <hyperlink ref="R26" r:id="rId3" xr:uid="{BF3653C2-E4B1-476D-B123-BCC5FD1F46D4}"/>
    <hyperlink ref="T26" r:id="rId4" xr:uid="{0F86C926-03A3-427E-9D72-5092228B4E10}"/>
    <hyperlink ref="S26" r:id="rId5" xr:uid="{DA8F0E4A-1BBA-453F-982E-E7E3F00D5E8B}"/>
    <hyperlink ref="M32" r:id="rId6" xr:uid="{CD546237-7889-4E53-B631-878A2DD929E4}"/>
    <hyperlink ref="Q32" r:id="rId7" xr:uid="{2249D4CF-F098-45F8-B835-950D481881D2}"/>
    <hyperlink ref="R32" r:id="rId8" xr:uid="{CC805EE2-75AF-4312-BE5F-0D3FF53B94C9}"/>
    <hyperlink ref="T32" r:id="rId9" xr:uid="{EFC4821A-AB2A-461E-A8AA-A8B43F12E78D}"/>
    <hyperlink ref="S32" r:id="rId10" xr:uid="{DD95D225-7BD9-4621-98CB-6A2279561E5C}"/>
    <hyperlink ref="F26" r:id="rId11" xr:uid="{E8922B66-719E-463A-9C4D-F73D4464B6FA}"/>
    <hyperlink ref="F32" r:id="rId12" xr:uid="{8CC08650-4B69-4B8C-BFB3-2EE3190CB25B}"/>
    <hyperlink ref="G26" r:id="rId13" xr:uid="{2B8DCDA6-D7C4-43F5-994D-FF3294A88A17}"/>
    <hyperlink ref="G32" r:id="rId14" xr:uid="{221D40B0-0136-44D9-AD95-D31EA4BC93B2}"/>
    <hyperlink ref="H26" r:id="rId15" xr:uid="{83559268-893A-4F24-8D9E-E75C524ADBF8}"/>
    <hyperlink ref="H32" r:id="rId16" xr:uid="{3BDDCB9E-B33B-4F7B-8A23-ED7B76A69152}"/>
    <hyperlink ref="I26" r:id="rId17" xr:uid="{C2FC7B6B-2737-4CD2-89F8-83B9CC8F02C1}"/>
    <hyperlink ref="I32" r:id="rId18" xr:uid="{BCFC51AF-DAD8-4FDC-9C92-9B3EAFCB791C}"/>
    <hyperlink ref="J26" r:id="rId19" xr:uid="{7A84DB46-4C3A-4294-BA94-F49F45D5F65E}"/>
    <hyperlink ref="J32" r:id="rId20" xr:uid="{34983204-A5EB-469E-948C-2D01312969B0}"/>
    <hyperlink ref="K26" r:id="rId21" xr:uid="{B1837D1F-AB98-4B3B-9914-C547DBC5E872}"/>
    <hyperlink ref="K32" r:id="rId22" xr:uid="{3227FDFA-B463-4AF7-BA42-B8874A8431C5}"/>
    <hyperlink ref="L26" r:id="rId23" xr:uid="{287C1119-CB0A-4C19-9A6B-F5E44D98950B}"/>
    <hyperlink ref="L32" r:id="rId24" xr:uid="{FF3018A9-9170-4382-AF7F-30005CAF2189}"/>
    <hyperlink ref="N26" r:id="rId25" xr:uid="{7BC92AF8-6EF8-4A64-99AF-80FD7AD96D63}"/>
    <hyperlink ref="N32" r:id="rId26" xr:uid="{0A25CC42-EFDE-40CD-B7DE-A7ABB3615A03}"/>
    <hyperlink ref="O26" r:id="rId27" xr:uid="{13222CAA-97EC-4B40-94BC-D6377E7C3E5D}"/>
    <hyperlink ref="O32" r:id="rId28" xr:uid="{F1B94F04-AE19-4B42-A8FA-5D35EC31DA9D}"/>
    <hyperlink ref="P26" r:id="rId29" xr:uid="{911BBE87-9BD4-498D-BB92-F7FA8DCDFC27}"/>
    <hyperlink ref="P32" r:id="rId30" xr:uid="{479045AF-78F2-425D-BCCC-105BE9C88E23}"/>
  </hyperlinks>
  <pageMargins left="0.7" right="0.7" top="0.75" bottom="0.75" header="0.3" footer="0.3"/>
  <pageSetup orientation="landscape" r:id="rId3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111D-AAC2-4D16-BB53-B279C679A224}">
  <sheetPr codeName="Sheet15"/>
  <dimension ref="A1:C78"/>
  <sheetViews>
    <sheetView workbookViewId="0">
      <selection sqref="A1:C1"/>
    </sheetView>
  </sheetViews>
  <sheetFormatPr defaultRowHeight="13.2" x14ac:dyDescent="0.25"/>
  <cols>
    <col min="1" max="1" width="35.5546875" bestFit="1" customWidth="1"/>
    <col min="2" max="2" width="20.6640625" customWidth="1"/>
    <col min="3" max="3" width="110.88671875" bestFit="1" customWidth="1"/>
  </cols>
  <sheetData>
    <row r="1" spans="1:3" s="497" customFormat="1" ht="18" thickBot="1" x14ac:dyDescent="0.4">
      <c r="A1" s="1773" t="s">
        <v>582</v>
      </c>
      <c r="B1" s="1773"/>
      <c r="C1" s="1773"/>
    </row>
    <row r="2" spans="1:3" s="497" customFormat="1" ht="13.8" thickTop="1" x14ac:dyDescent="0.25">
      <c r="A2" s="191" t="s">
        <v>583</v>
      </c>
      <c r="B2" s="191" t="s">
        <v>584</v>
      </c>
      <c r="C2" s="191" t="s">
        <v>585</v>
      </c>
    </row>
    <row r="3" spans="1:3" s="410" customFormat="1" x14ac:dyDescent="0.25">
      <c r="A3" s="206" t="s">
        <v>586</v>
      </c>
      <c r="B3" s="206" t="s">
        <v>587</v>
      </c>
      <c r="C3" s="206" t="s">
        <v>588</v>
      </c>
    </row>
    <row r="4" spans="1:3" s="496" customFormat="1" x14ac:dyDescent="0.25">
      <c r="A4" s="206" t="s">
        <v>589</v>
      </c>
      <c r="B4" s="206">
        <v>10</v>
      </c>
      <c r="C4" s="498" t="s">
        <v>590</v>
      </c>
    </row>
    <row r="5" spans="1:3" s="496" customFormat="1" x14ac:dyDescent="0.25">
      <c r="A5" s="206"/>
      <c r="B5" s="206"/>
      <c r="C5" s="206"/>
    </row>
    <row r="6" spans="1:3" s="496" customFormat="1" ht="18" thickBot="1" x14ac:dyDescent="0.3">
      <c r="A6" s="1772" t="s">
        <v>591</v>
      </c>
      <c r="B6" s="1772"/>
      <c r="C6" s="1772"/>
    </row>
    <row r="7" spans="1:3" ht="13.8" thickTop="1" x14ac:dyDescent="0.25">
      <c r="A7" s="191" t="s">
        <v>583</v>
      </c>
      <c r="B7" s="191" t="s">
        <v>584</v>
      </c>
      <c r="C7" s="191" t="s">
        <v>585</v>
      </c>
    </row>
    <row r="8" spans="1:3" s="495" customFormat="1" x14ac:dyDescent="0.25">
      <c r="A8" s="206" t="s">
        <v>592</v>
      </c>
      <c r="B8" s="592" t="b">
        <f>AND(Children&gt;0,ParentingPlan&lt;&gt;"",ISNUMBER(CombinedAdjustedChildSupportIncome))</f>
        <v>0</v>
      </c>
      <c r="C8" s="206" t="s">
        <v>593</v>
      </c>
    </row>
    <row r="9" spans="1:3" s="412" customFormat="1" x14ac:dyDescent="0.25">
      <c r="A9" s="206" t="s">
        <v>594</v>
      </c>
      <c r="B9" s="502" t="b">
        <f>AND(OR(ISNUMBER(Worksheet!M18),AND(ISBLANK(Worksheet!F18),ISBLANK(Worksheet!M18),ISBLANK(Worksheet!S18))),OR(ISNUMBER(Worksheet!M19),AND(ISBLANK(Worksheet!F19),ISBLANK(Worksheet!M19),ISBLANK(Worksheet!S19))),OR(ISNUMBER(Worksheet!M20),AND(ISBLANK(Worksheet!F20),ISBLANK(Worksheet!M20),ISBLANK(Worksheet!S20))),OR(ISNUMBER(Worksheet!M21),AND(ISBLANK(Worksheet!F21),ISBLANK(Worksheet!M21),ISBLANK(Worksheet!S21))),OR(ISNUMBER(Worksheet!M22),AND(ISBLANK(Worksheet!F22),ISBLANK(Worksheet!M22),ISBLANK(Worksheet!S22))),OR(ISNUMBER(Worksheet!M23),AND(ISBLANK(Worksheet!F23),ISBLANK(Worksheet!M23),ISBLANK(Worksheet!S23))))</f>
        <v>1</v>
      </c>
      <c r="C9" s="206" t="s">
        <v>595</v>
      </c>
    </row>
    <row r="10" spans="1:3" s="299" customFormat="1" x14ac:dyDescent="0.25">
      <c r="A10" s="206" t="s">
        <v>596</v>
      </c>
      <c r="B10" s="206">
        <f>SUM(
IF(AND(ISBLANK(Worksheet!M18),ISBLANK(Worksheet!S18)),0,1),
IF(AND(ISBLANK(Worksheet!M19),ISBLANK(Worksheet!S19)),0,1),
IF(AND(ISBLANK(Worksheet!M20),ISBLANK(Worksheet!S20)),0,1),
IF(AND(ISBLANK(Worksheet!M21),ISBLANK(Worksheet!S21)),0,1),
IF(AND(ISBLANK(Worksheet!M22),ISBLANK(Worksheet!S22)),0,1),
IF(AND(ISBLANK(Worksheet!M23),ISBLANK(Worksheet!S23)),0,1)
)</f>
        <v>0</v>
      </c>
      <c r="C10" s="206" t="s">
        <v>597</v>
      </c>
    </row>
    <row r="11" spans="1:3" s="469" customFormat="1" x14ac:dyDescent="0.25">
      <c r="A11" s="206" t="s">
        <v>598</v>
      </c>
      <c r="B11" s="502">
        <f ca="1">SUM(
IF(OR(AND(ISNUMBER(Worksheet!P43),Worksheet!P43&gt;=12),AND(ISNUMBER(Worksheet!P44),Worksheet!P44&gt;=12)),1,0),
IF(OR(AND(ISNUMBER(Worksheet!R43),Worksheet!R43&gt;=12),AND(ISNUMBER(Worksheet!R44),Worksheet!R44&gt;=12)),1,0),
IF(OR(AND(ISNUMBER(Worksheet!T43),Worksheet!T43&gt;=12),AND(ISNUMBER(Worksheet!T44),Worksheet!T44&gt;=12)),1,0),
IF(OR(AND(ISNUMBER(Worksheet!V43),Worksheet!V43&gt;=12),AND(ISNUMBER(Worksheet!V44),Worksheet!V44&gt;=12)),1,0),
IF(OR(AND(ISNUMBER(Worksheet!X43),Worksheet!X43&gt;=12),AND(ISNUMBER(Worksheet!X44),Worksheet!X44&gt;=12)),1,0),
IF(OR(AND(ISNUMBER(Worksheet!Z43),Worksheet!Z43&gt;=12),AND(ISNUMBER(Worksheet!Z44),Worksheet!Z44&gt;=12)),1,0)
)</f>
        <v>0</v>
      </c>
      <c r="C11" s="206" t="s">
        <v>599</v>
      </c>
    </row>
    <row r="12" spans="1:3" s="469" customFormat="1" x14ac:dyDescent="0.25">
      <c r="A12" s="206" t="s">
        <v>600</v>
      </c>
      <c r="B12" s="502">
        <f ca="1">IF(ISNUMBER(Worksheet!I66),Worksheet!I66,SUM(
IF(OR(AND(ISNUMBER(Worksheet!P43),Worksheet!P43&lt;13),AND(ISNUMBER(Worksheet!P44),Worksheet!P44&lt;13)),1,0),
IF(OR(AND(ISNUMBER(Worksheet!R43),Worksheet!R43&lt;13),AND(ISNUMBER(Worksheet!R44),Worksheet!R44&lt;13)),1,0),
IF(OR(AND(ISNUMBER(Worksheet!T43),Worksheet!T43&lt;13),AND(ISNUMBER(Worksheet!T44),Worksheet!T44&lt;13)),1,0),
IF(OR(AND(ISNUMBER(Worksheet!V43),Worksheet!V43&lt;13),AND(ISNUMBER(Worksheet!V44),Worksheet!V44&lt;13)),1,0),
IF(OR(AND(ISNUMBER(Worksheet!X43),Worksheet!X43&lt;13),AND(ISNUMBER(Worksheet!X44),Worksheet!X44&lt;13)),1,0),
IF(OR(AND(ISNUMBER(Worksheet!Z43),Worksheet!Z43&lt;13),AND(ISNUMBER(Worksheet!Z44),Worksheet!Z44&lt;13)),1,0)
))</f>
        <v>0</v>
      </c>
      <c r="C12" s="206" t="s">
        <v>601</v>
      </c>
    </row>
    <row r="13" spans="1:3" s="299" customFormat="1" x14ac:dyDescent="0.25">
      <c r="A13" s="206" t="s">
        <v>602</v>
      </c>
      <c r="B13" s="478">
        <f>IF(AND(ISNUMBER(Worksheet!G57),Worksheet!G57&gt;6),6,Worksheet!G57)</f>
        <v>0</v>
      </c>
      <c r="C13" s="206" t="s">
        <v>603</v>
      </c>
    </row>
    <row r="14" spans="1:3" s="299" customFormat="1" x14ac:dyDescent="0.25">
      <c r="A14" s="206" t="s">
        <v>604</v>
      </c>
      <c r="B14" s="478">
        <f>IF(AND(ISNUMBER(Worksheet!G58),Worksheet!G58&gt;6),6,Worksheet!G58)</f>
        <v>0</v>
      </c>
      <c r="C14" s="206" t="s">
        <v>605</v>
      </c>
    </row>
    <row r="15" spans="1:3" s="299" customFormat="1" x14ac:dyDescent="0.25">
      <c r="A15" s="206" t="s">
        <v>606</v>
      </c>
      <c r="B15" s="206" t="str">
        <f>IF(AND(NOT(ISBLANK(Worksheet!J49)),ISBLANK(Worksheet!M49),ISBLANK(Worksheet!P49)),"Parent A",IF(AND(NOT(ISBLANK(Worksheet!M49)),ISBLANK(Worksheet!J49),ISBLANK(Worksheet!P49)),"Parent B",IF(AND(NOT(ISBLANK(Worksheet!P49)),ISBLANK(Worksheet!J49),ISBLANK(Worksheet!M49)),"Equal","")))</f>
        <v/>
      </c>
      <c r="C15" s="206" t="s">
        <v>607</v>
      </c>
    </row>
    <row r="16" spans="1:3" s="483" customFormat="1" x14ac:dyDescent="0.25">
      <c r="A16" s="206" t="s">
        <v>608</v>
      </c>
      <c r="B16" s="206" t="str">
        <f>IF(NOT(ISBLANK(Worksheet!J51)),Worksheet!J51,IF(NOT(ISBLANK(Worksheet!M51)),Worksheet!M51/12,IF(NOT(ISBLANK(Worksheet!P51)),Worksheet!P51*40*52/12,"")))</f>
        <v/>
      </c>
      <c r="C16" s="206" t="s">
        <v>609</v>
      </c>
    </row>
    <row r="17" spans="1:3" s="483" customFormat="1" x14ac:dyDescent="0.25">
      <c r="A17" s="206" t="s">
        <v>610</v>
      </c>
      <c r="B17" s="206" t="str">
        <f>IF(NOT(ISBLANK(Worksheet!J52)),Worksheet!J52,IF(NOT(ISBLANK(Worksheet!M52)),Worksheet!M52/12,IF(NOT(ISBLANK(Worksheet!P52)),Worksheet!P52*40*52/12,"")))</f>
        <v/>
      </c>
      <c r="C17" s="206" t="s">
        <v>611</v>
      </c>
    </row>
    <row r="18" spans="1:3" s="495" customFormat="1" x14ac:dyDescent="0.25">
      <c r="A18" s="206" t="s">
        <v>612</v>
      </c>
      <c r="B18" s="206" t="str">
        <f>IF(ISNUMBER(ChildSupportIncomeA),SUM(Worksheet!U51:U54)-ABS(Worksheet!U55)+SUM(Worksheet!U56:U58),"")</f>
        <v/>
      </c>
      <c r="C18" s="206" t="s">
        <v>613</v>
      </c>
    </row>
    <row r="19" spans="1:3" s="495" customFormat="1" x14ac:dyDescent="0.25">
      <c r="A19" s="206" t="s">
        <v>614</v>
      </c>
      <c r="B19" s="206" t="str">
        <f>IF(ISNUMBER(ChildSupportIncomeB),SUM(Worksheet!Y51:Y54)-ABS(Worksheet!Y55)+SUM(Worksheet!Y56:Y58),"")</f>
        <v/>
      </c>
      <c r="C19" s="206" t="s">
        <v>615</v>
      </c>
    </row>
    <row r="20" spans="1:3" s="495" customFormat="1" x14ac:dyDescent="0.25">
      <c r="A20" s="206" t="s">
        <v>616</v>
      </c>
      <c r="B20" s="206" t="str">
        <f>IF(AND(ISNUMBER(AdjustedChildSupportIncomeA),ISNUMBER(AdjustedChildSupportIncomeB)),SUM(AdjustedChildSupportIncomeA,AdjustedChildSupportIncomeB),"")</f>
        <v/>
      </c>
      <c r="C20" s="206" t="s">
        <v>617</v>
      </c>
    </row>
    <row r="21" spans="1:3" s="477" customFormat="1" x14ac:dyDescent="0.25">
      <c r="A21" s="206" t="s">
        <v>618</v>
      </c>
      <c r="B21" s="502" t="str">
        <f>IF(NOT(Ready),"",IF(CombinedAdjustedChildSupportIncome&lt;MinCAGI,0,VLOOKUP(MROUND(CombinedAdjustedChildSupportIncome,50),Obligations,Children+1,TRUE)))</f>
        <v/>
      </c>
      <c r="C21" s="206" t="s">
        <v>619</v>
      </c>
    </row>
    <row r="22" spans="1:3" s="497" customFormat="1" x14ac:dyDescent="0.25">
      <c r="A22" s="206" t="s">
        <v>620</v>
      </c>
      <c r="B22" s="502" t="str">
        <f ca="1">IF(OR(NOT(ISNUMBER(BasicChildSupportObligation)),NOT(ISNUMBER(Worksheet!G64))),"",IF(Worksheet!G64&gt;Children,"Too Many",Worksheet!G64/Children*OlderChildAdjustmentRate/100*BasicChildSupportObligation))</f>
        <v/>
      </c>
      <c r="C22" s="498" t="s">
        <v>621</v>
      </c>
    </row>
    <row r="23" spans="1:3" s="495" customFormat="1" x14ac:dyDescent="0.25">
      <c r="A23" s="206" t="s">
        <v>622</v>
      </c>
      <c r="B23" s="502" t="str">
        <f>IF(NOT(Ready),"",SUM(Worksheet!U65:U69))</f>
        <v/>
      </c>
      <c r="C23" s="206" t="s">
        <v>623</v>
      </c>
    </row>
    <row r="24" spans="1:3" s="495" customFormat="1" x14ac:dyDescent="0.25">
      <c r="A24" s="206" t="s">
        <v>624</v>
      </c>
      <c r="B24" s="502" t="str">
        <f>IF(NOT(Ready),"",SUM(Worksheet!Y65:Y69))</f>
        <v/>
      </c>
      <c r="C24" s="206" t="s">
        <v>625</v>
      </c>
    </row>
    <row r="25" spans="1:3" s="495" customFormat="1" x14ac:dyDescent="0.25">
      <c r="A25" s="206" t="s">
        <v>626</v>
      </c>
      <c r="B25" s="502" t="str">
        <f>IF(NOT(Ready),"",SUM(BasicChildSupportObligation,OlderChildAdjustment,BasicChildSupportObligationAdjustmentsA,BasicChildSupportObligationAdjustmentsB))</f>
        <v/>
      </c>
      <c r="C25" s="206" t="s">
        <v>627</v>
      </c>
    </row>
    <row r="26" spans="1:3" s="495" customFormat="1" x14ac:dyDescent="0.25">
      <c r="A26" s="206" t="s">
        <v>628</v>
      </c>
      <c r="B26" s="502" t="str">
        <f>IF(NOT(Ready),"",ROUND(AdjustedChildSupportIncomeA/CombinedAdjustedChildSupportIncome, 4))</f>
        <v/>
      </c>
      <c r="C26" s="206" t="s">
        <v>629</v>
      </c>
    </row>
    <row r="27" spans="1:3" s="495" customFormat="1" x14ac:dyDescent="0.25">
      <c r="A27" s="206" t="s">
        <v>630</v>
      </c>
      <c r="B27" s="502" t="str">
        <f>IF(NOT(Ready),"",ROUND(AdjustedChildSupportIncomeB/CombinedAdjustedChildSupportIncome, 4))</f>
        <v/>
      </c>
      <c r="C27" s="206" t="s">
        <v>631</v>
      </c>
    </row>
    <row r="28" spans="1:3" s="482" customFormat="1" x14ac:dyDescent="0.25">
      <c r="A28" s="206" t="s">
        <v>632</v>
      </c>
      <c r="B28" s="502" t="str">
        <f>IF(NOT(Ready),"",IF(AND(ISEVEN(CombinedChildSupportObligation*ObligationPercentageA*10^2),MOD(CombinedChildSupportObligation*ObligationPercentageA*10^2,1)&lt;=0.5),ROUNDDOWN(CombinedChildSupportObligation*ObligationPercentageA,2),ROUND(CombinedChildSupportObligation*ObligationPercentageA,2)))</f>
        <v/>
      </c>
      <c r="C28" s="206" t="s">
        <v>633</v>
      </c>
    </row>
    <row r="29" spans="1:3" s="482" customFormat="1" x14ac:dyDescent="0.25">
      <c r="A29" s="206" t="s">
        <v>634</v>
      </c>
      <c r="B29" s="502" t="str">
        <f>IF(NOT(Ready),"",IF(AND(ISEVEN(CombinedChildSupportObligation*ObligationPercentageB*10^2),MOD(CombinedChildSupportObligation*ObligationPercentageB*10^2,1)&lt;=0.5),ROUNDDOWN(CombinedChildSupportObligation*ObligationPercentageB,2),ROUND(CombinedChildSupportObligation*ObligationPercentageB,2)))</f>
        <v/>
      </c>
      <c r="C29" s="206" t="s">
        <v>635</v>
      </c>
    </row>
    <row r="30" spans="1:3" s="503" customFormat="1" x14ac:dyDescent="0.25">
      <c r="A30" s="206" t="s">
        <v>636</v>
      </c>
      <c r="B30" s="502">
        <f>Worksheet!K74</f>
        <v>0</v>
      </c>
      <c r="C30" s="206" t="s">
        <v>637</v>
      </c>
    </row>
    <row r="31" spans="1:3" s="499" customFormat="1" x14ac:dyDescent="0.25">
      <c r="A31" s="206" t="s">
        <v>638</v>
      </c>
      <c r="B31" s="502">
        <f>IF(ParentingPlan="Equal",0.5,IF(ISNUMBER(Worksheet!O74),IF(Worksheet!O74&lt;1,Worksheet!O74,Worksheet!O74/100), IF(ISBLANK(ParentingTime),"",VLOOKUP(ROUND(ParentingTime,0),'Parenting Time'!A3:C14,3,TRUE))))</f>
        <v>0</v>
      </c>
      <c r="C31" s="206" t="s">
        <v>639</v>
      </c>
    </row>
    <row r="32" spans="1:3" s="495" customFormat="1" x14ac:dyDescent="0.25">
      <c r="A32" s="206" t="s">
        <v>640</v>
      </c>
      <c r="B32" s="502" t="str">
        <f>IF(OR(NOT(Ready),AND(ParentingPlan="Parent A",NOT(ParentingTimePercentage=0.5))),"",IF(ISNUMBER(ParentingTimePercentage),(BasicChildSupportObligation+OlderChildAdjustment)*ParentingTimePercentage,""))</f>
        <v/>
      </c>
      <c r="C32" s="206" t="s">
        <v>641</v>
      </c>
    </row>
    <row r="33" spans="1:3" s="495" customFormat="1" x14ac:dyDescent="0.25">
      <c r="A33" s="206" t="s">
        <v>642</v>
      </c>
      <c r="B33" s="502" t="str">
        <f>IF(OR(NOT(Ready),AND(ParentingPlan="Parent B",NOT(ParentingTimePercentage=0.5))),"",IF(ISNUMBER(ParentingTimePercentage),(BasicChildSupportObligation+OlderChildAdjustment)*ParentingTimePercentage,""))</f>
        <v/>
      </c>
      <c r="C33" s="206" t="s">
        <v>643</v>
      </c>
    </row>
    <row r="34" spans="1:3" s="495" customFormat="1" x14ac:dyDescent="0.25">
      <c r="A34" s="206" t="s">
        <v>644</v>
      </c>
      <c r="B34" s="502" t="str">
        <f>IF(NOT(Ready),"",SUM(ObligationShareA,IF(ISNUMBER(ParentingTimeAdjustmentA),-ParentingTimeAdjustmentA,0),-BasicChildSupportObligationAdjustmentsA))</f>
        <v/>
      </c>
      <c r="C34" s="206" t="s">
        <v>645</v>
      </c>
    </row>
    <row r="35" spans="1:3" s="495" customFormat="1" x14ac:dyDescent="0.25">
      <c r="A35" s="206" t="s">
        <v>646</v>
      </c>
      <c r="B35" s="502" t="str">
        <f>IF(NOT(Ready),"",SUM(ObligationShareB,IF(ISNUMBER(ParentingTimeAdjustmentB),-ParentingTimeAdjustmentB,0),-BasicChildSupportObligationAdjustmentsB))</f>
        <v/>
      </c>
      <c r="C35" s="206" t="s">
        <v>647</v>
      </c>
    </row>
    <row r="36" spans="1:3" s="299" customFormat="1" x14ac:dyDescent="0.25">
      <c r="A36" s="206" t="s">
        <v>648</v>
      </c>
      <c r="B36" s="206" t="str">
        <f>IF(OR(NOT(Ready),AND(ProportionateChildSupportObligationA=0,ProportionateChildSupportObligationB=0)),"the obligor",IF(OR(AND(ParentingPlan="Parent B",OR(ProportionateChildSupportObligationA&gt;0,AND(AdjustedChildSupportIncomeA=0,ParentingTimePercentage=0))),AND(ParentingPlan="Parent A",ProportionateChildSupportObligationB&lt;=0,ParentingTimePercentage&gt;0),AND(ParentingPlan="Equal",ProportionateChildSupportObligationA&gt;ProportionateChildSupportObligationB)),"Parent A",IF(OR(AND(ParentingPlan="Parent A",OR(ProportionateChildSupportObligationB&gt;0,AND(AdjustedChildSupportIncomeB=0,ParentingTimePercentage=0))),AND(ParentingPlan="Parent B",ProportionateChildSupportObligationA&lt;=0,ParentingTimePercentage&gt;0),AND(ParentingPlan="Equal",ProportionateChildSupportObligationB&gt;ProportionateChildSupportObligationA)),"Parent B","the obligor")))</f>
        <v>the obligor</v>
      </c>
      <c r="C36" s="206" t="s">
        <v>649</v>
      </c>
    </row>
    <row r="37" spans="1:3" s="299" customFormat="1" x14ac:dyDescent="0.25">
      <c r="A37" s="206" t="s">
        <v>650</v>
      </c>
      <c r="B37" s="206" t="str">
        <f>IF(Obligor="Parent A","Parent B",IF(Obligor="Parent B","Parent A","the obligee"))</f>
        <v>the obligee</v>
      </c>
      <c r="C37" s="206" t="s">
        <v>651</v>
      </c>
    </row>
    <row r="38" spans="1:3" s="493" customFormat="1" x14ac:dyDescent="0.25">
      <c r="A38" s="206" t="s">
        <v>652</v>
      </c>
      <c r="B38" s="206" t="str">
        <f>IF(Obligor="Parent A",AdjustedChildSupportIncomeA,IF(Obligor="Parent B",AdjustedChildSupportIncomeB,""))</f>
        <v/>
      </c>
      <c r="C38" s="206" t="s">
        <v>653</v>
      </c>
    </row>
    <row r="39" spans="1:3" s="494" customFormat="1" x14ac:dyDescent="0.25">
      <c r="A39" s="206" t="s">
        <v>654</v>
      </c>
      <c r="B39" s="592" t="str">
        <f>IF(NOT(Ready),"",IF(NOT(ISBLANK(Worksheet!O30)),1115,IF(NOT(ISBLANK(Worksheet!O31)),0.8*Worksheet!O31*40*52/12,0.8*Worksheet!R31*40*52/12)))</f>
        <v/>
      </c>
      <c r="C39" s="206" t="s">
        <v>655</v>
      </c>
    </row>
    <row r="40" spans="1:3" s="494" customFormat="1" x14ac:dyDescent="0.25">
      <c r="A40" s="206" t="s">
        <v>656</v>
      </c>
      <c r="B40" s="592" t="str">
        <f>IF(ISNUMBER(ObligorACSI),IF(ObligorACSI-SelfSupportReserve&gt;=1,ObligorACSI-SelfSupportReserve,"None"),"")</f>
        <v/>
      </c>
      <c r="C40" s="206" t="s">
        <v>657</v>
      </c>
    </row>
    <row r="41" spans="1:3" s="509" customFormat="1" x14ac:dyDescent="0.25">
      <c r="A41" s="206" t="s">
        <v>658</v>
      </c>
      <c r="B41" s="592" t="str">
        <f>IF(NOT(Ready),"",IF(AND(Obligor="Parent A",ISBLANK(Worksheet!L80)),IF(SelfSupportReserveTest="None",ProportionateChildSupportObligationA,IF(SelfSupportReserveTest&lt;ProportionateChildSupportObligationA,ProportionateChildSupportObligationA-SelfSupportReserveTest,0)),0))</f>
        <v/>
      </c>
      <c r="C41" s="206" t="s">
        <v>659</v>
      </c>
    </row>
    <row r="42" spans="1:3" s="509" customFormat="1" x14ac:dyDescent="0.25">
      <c r="A42" s="206" t="s">
        <v>660</v>
      </c>
      <c r="B42" s="592" t="str">
        <f>IF(NOT(Ready),"",IF(AND(Obligor="Parent B",ISBLANK(Worksheet!L80)),IF(SelfSupportReserveTest="None",ProportionateChildSupportObligationB,IF(SelfSupportReserveTest&lt;ProportionateChildSupportObligationB,ProportionateChildSupportObligationB-SelfSupportReserveTest,0)),0))</f>
        <v/>
      </c>
      <c r="C42" s="206" t="s">
        <v>659</v>
      </c>
    </row>
    <row r="43" spans="1:3" s="572" customFormat="1" x14ac:dyDescent="0.25">
      <c r="A43" s="206" t="s">
        <v>661</v>
      </c>
      <c r="B43" s="592" t="str">
        <f>IF(NOT(Ready),"",IF(Obligor&lt;&gt;"Parent A","",IF(AND(ParentingPlan="Parent A",ProportionateChildSupportObligationB&lt;0),ProportionateChildSupportObligationB*-1-SelfSupportReserveAdjustmentA,ProportionateChildSupportObligationA-SelfSupportReserveAdjustmentA)))</f>
        <v/>
      </c>
      <c r="C43" s="206" t="s">
        <v>662</v>
      </c>
    </row>
    <row r="44" spans="1:3" s="572" customFormat="1" x14ac:dyDescent="0.25">
      <c r="A44" s="206" t="s">
        <v>663</v>
      </c>
      <c r="B44" s="592" t="str">
        <f>IF(NOT(Ready),"",IF(Obligor&lt;&gt;"Parent B","",IF(AND(ParentingPlan="Parent B",ProportionateChildSupportObligationA&lt;0),ProportionateChildSupportObligationA*-1-SelfSupportReserveAdjustmentB,ProportionateChildSupportObligationB-SelfSupportReserveAdjustmentB)))</f>
        <v/>
      </c>
      <c r="C44" s="206" t="s">
        <v>664</v>
      </c>
    </row>
    <row r="45" spans="1:3" s="509" customFormat="1" x14ac:dyDescent="0.25">
      <c r="A45" s="206" t="s">
        <v>665</v>
      </c>
      <c r="B45" s="592" t="str">
        <f>IF(NOT(Ready),"",IF(AND(ChildSupportObligationA="",ChildSupportObligationB=""),0,IF(ChildSupportObligationA="","",IF(ChildSupportObligationA&lt;County!D34,0,ROUND(ChildSupportObligationA,0)))))</f>
        <v/>
      </c>
      <c r="C45" s="206" t="s">
        <v>666</v>
      </c>
    </row>
    <row r="46" spans="1:3" s="509" customFormat="1" x14ac:dyDescent="0.25">
      <c r="A46" s="206" t="s">
        <v>667</v>
      </c>
      <c r="B46" s="592" t="str">
        <f>IF(NOT(Ready),"",IF(AND(ChildSupportObligationA="",ChildSupportObligationB=""),0,IF(ChildSupportObligationB="","",IF(ChildSupportObligationB&lt;County!D34,0,ROUND(ChildSupportObligationB,0)))))</f>
        <v/>
      </c>
      <c r="C46" s="206" t="s">
        <v>668</v>
      </c>
    </row>
    <row r="47" spans="1:3" x14ac:dyDescent="0.25">
      <c r="A47" s="206" t="s">
        <v>669</v>
      </c>
      <c r="B47" s="206">
        <v>1</v>
      </c>
      <c r="C47" s="206" t="s">
        <v>670</v>
      </c>
    </row>
    <row r="48" spans="1:3" x14ac:dyDescent="0.25">
      <c r="A48" s="206" t="s">
        <v>671</v>
      </c>
      <c r="B48" s="206">
        <v>2</v>
      </c>
      <c r="C48" s="206" t="s">
        <v>672</v>
      </c>
    </row>
    <row r="49" spans="1:3" x14ac:dyDescent="0.25">
      <c r="A49" s="206" t="s">
        <v>673</v>
      </c>
      <c r="B49" s="206" t="str">
        <f ca="1">IF(OR(NOT(ISNUMBER(CustodyCountA)),NOT(ISNUMBER(Worksheet!U51)),Worksheet!U51&lt;MinCAGI),"",VLOOKUP(MROUND(Worksheet!U51,50),Obligations,CustodyCountA+1,TRUE)*-1)</f>
        <v/>
      </c>
      <c r="C49" s="206" t="s">
        <v>674</v>
      </c>
    </row>
    <row r="50" spans="1:3" x14ac:dyDescent="0.25">
      <c r="A50" s="206" t="s">
        <v>675</v>
      </c>
      <c r="B50" s="206" t="str">
        <f ca="1">IF(OR(NOT(ISNUMBER(CustodyCountB)),NOT(ISNUMBER(Worksheet!Y51)),Worksheet!Y51&lt;MinCAGI),"",VLOOKUP(MROUND(Worksheet!Y51,50),Obligations,CustodyCountB+1,TRUE)*-1)</f>
        <v/>
      </c>
      <c r="C50" s="206" t="s">
        <v>676</v>
      </c>
    </row>
    <row r="51" spans="1:3" s="412" customFormat="1" x14ac:dyDescent="0.25">
      <c r="A51" s="206" t="s">
        <v>677</v>
      </c>
      <c r="B51" s="206" t="b">
        <f>OR(Worksheet!L151="x",NOT(ChildDobExists))</f>
        <v>0</v>
      </c>
      <c r="C51" s="206" t="s">
        <v>678</v>
      </c>
    </row>
    <row r="52" spans="1:3" x14ac:dyDescent="0.25">
      <c r="A52" s="206" t="s">
        <v>679</v>
      </c>
      <c r="B52" s="206">
        <f ca="1">IF(YEAR(TODAY())&gt;=2021,0,IF(ParentingPlan&lt;&gt;"Equal",0,IF(Worksheet!U77&gt;Worksheet!Y77,-(Worksheet!U77-Worksheet!Y77)/2,(Worksheet!Y77-Worksheet!U77)/2)))</f>
        <v>0</v>
      </c>
      <c r="C52" s="206" t="s">
        <v>680</v>
      </c>
    </row>
    <row r="53" spans="1:3" x14ac:dyDescent="0.25">
      <c r="A53" s="206" t="s">
        <v>681</v>
      </c>
      <c r="B53" s="206">
        <f ca="1">IF(YEAR(TODAY())&gt;=2021,0,IF(ISBLANK(Worksheet!P49),"",IF(Worksheet!Y77&gt;Worksheet!U77,-(Worksheet!Y77-Worksheet!U77)/2,(Worksheet!U77-Worksheet!Y77)/2)))</f>
        <v>0</v>
      </c>
      <c r="C53" s="206" t="s">
        <v>682</v>
      </c>
    </row>
    <row r="54" spans="1:3" s="299" customFormat="1" x14ac:dyDescent="0.25">
      <c r="A54" s="206" t="s">
        <v>683</v>
      </c>
      <c r="B54" s="206" t="b">
        <f>IF(ISBLANK(Worksheet!P10),FALSE,TRUE)</f>
        <v>0</v>
      </c>
      <c r="C54" s="206" t="s">
        <v>684</v>
      </c>
    </row>
    <row r="55" spans="1:3" x14ac:dyDescent="0.25">
      <c r="A55" s="502" t="s">
        <v>685</v>
      </c>
      <c r="B55" s="502" cm="1">
        <f t="array" aca="1" ref="B55" ca="1">INDIRECT(ADDRESS(MAX(ROW(Obligations)),MIN(COLUMN(Obligations)),1,1,"Schedule"))</f>
        <v>30000</v>
      </c>
      <c r="C55" s="206" t="s">
        <v>686</v>
      </c>
    </row>
    <row r="56" spans="1:3" x14ac:dyDescent="0.25">
      <c r="A56" s="502" t="s">
        <v>687</v>
      </c>
      <c r="B56" s="502" cm="1">
        <f t="array" aca="1" ref="B56" ca="1">INDIRECT(ADDRESS(MIN(ROW(Obligations)),MIN(COLUMN(Obligations)),1,1,"Schedule"))</f>
        <v>750</v>
      </c>
      <c r="C56" s="206" t="s">
        <v>688</v>
      </c>
    </row>
    <row r="57" spans="1:3" s="299" customFormat="1" x14ac:dyDescent="0.25">
      <c r="A57" s="206" t="s">
        <v>689</v>
      </c>
      <c r="B57" s="478" t="str">
        <f ca="1">IF(OR(NOT(ISNUMBER(Worksheet!G57)),NOT(ISNUMBER(Worksheet!U51)),Worksheet!U51&lt;MinCAGI),"",IF(ISNUMBER(Worksheet!O57),-Worksheet!O57,VLOOKUP(MROUND(Worksheet!U51,50),Obligations,ChildrenOtherA+1,TRUE)*-1))</f>
        <v/>
      </c>
      <c r="C57" s="206" t="s">
        <v>690</v>
      </c>
    </row>
    <row r="58" spans="1:3" s="299" customFormat="1" x14ac:dyDescent="0.25">
      <c r="A58" s="206" t="s">
        <v>691</v>
      </c>
      <c r="B58" s="478" t="str">
        <f ca="1">IF(OR(NOT(ISNUMBER(Worksheet!G58)),NOT(ISNUMBER(Worksheet!Y51)),Worksheet!Y51&lt;MinCAGI),"",IF(ISNUMBER(Worksheet!O58),-Worksheet!O58,VLOOKUP(MROUND(Worksheet!Y51,50),Obligations,ChildrenOtherB+1,TRUE)*-1))</f>
        <v/>
      </c>
      <c r="C58" s="206" t="s">
        <v>692</v>
      </c>
    </row>
    <row r="59" spans="1:3" s="408" customFormat="1" x14ac:dyDescent="0.25">
      <c r="A59" s="206" t="s">
        <v>693</v>
      </c>
      <c r="B59" s="592" t="b">
        <f>IF(ISBLANK(Worksheet!E177),FALSE,TRUE)</f>
        <v>0</v>
      </c>
      <c r="C59" s="206" t="s">
        <v>694</v>
      </c>
    </row>
    <row r="61" spans="1:3" ht="18" thickBot="1" x14ac:dyDescent="0.3">
      <c r="A61" s="1772" t="s">
        <v>695</v>
      </c>
      <c r="B61" s="1772"/>
      <c r="C61" s="1772"/>
    </row>
    <row r="62" spans="1:3" ht="13.8" thickTop="1" x14ac:dyDescent="0.25">
      <c r="A62" s="191" t="s">
        <v>583</v>
      </c>
      <c r="B62" s="191" t="s">
        <v>584</v>
      </c>
      <c r="C62" s="191" t="s">
        <v>585</v>
      </c>
    </row>
    <row r="63" spans="1:3" s="299" customFormat="1" x14ac:dyDescent="0.25">
      <c r="A63" s="206" t="s">
        <v>696</v>
      </c>
      <c r="B63" s="206" t="str">
        <f>IF(ISBLANK(Worksheet!F10),"",Worksheet!F10)</f>
        <v/>
      </c>
      <c r="C63" s="206" t="s">
        <v>697</v>
      </c>
    </row>
    <row r="64" spans="1:3" s="299" customFormat="1" x14ac:dyDescent="0.25">
      <c r="A64" s="206" t="s">
        <v>698</v>
      </c>
      <c r="B64" s="206" t="str">
        <f>IF(Children=1,"child","children")</f>
        <v>children</v>
      </c>
      <c r="C64" s="206" t="s">
        <v>699</v>
      </c>
    </row>
    <row r="65" spans="1:3" s="412" customFormat="1" x14ac:dyDescent="0.25">
      <c r="A65" s="206" t="s">
        <v>700</v>
      </c>
      <c r="B65" s="206" t="str">
        <f>IF(ISBLANK(Worksheet!I281),"",Worksheet!I281)</f>
        <v/>
      </c>
      <c r="C65" s="206" t="s">
        <v>701</v>
      </c>
    </row>
    <row r="66" spans="1:3" s="299" customFormat="1" x14ac:dyDescent="0.25">
      <c r="A66" s="206" t="s">
        <v>702</v>
      </c>
      <c r="B66" s="476">
        <f ca="1">IF(ISNUMBER(Worksheet!J179),Worksheet!J179,TODAY())</f>
        <v>44925</v>
      </c>
      <c r="C66" s="206" t="s">
        <v>703</v>
      </c>
    </row>
    <row r="67" spans="1:3" s="502" customFormat="1" x14ac:dyDescent="0.25">
      <c r="A67" s="206" t="s">
        <v>704</v>
      </c>
      <c r="B67" s="476" t="str">
        <f>IF(Obligor="Parent A",Petitioner,IF(Obligor="Parent B",Respondent,Obligor))</f>
        <v>the obligor</v>
      </c>
      <c r="C67" s="206"/>
    </row>
    <row r="68" spans="1:3" x14ac:dyDescent="0.25">
      <c r="A68" s="206" t="s">
        <v>705</v>
      </c>
      <c r="B68" s="592" t="str">
        <f>IF(ISBLANK(Worksheet!F12),"",Worksheet!F12)</f>
        <v/>
      </c>
      <c r="C68" s="206" t="s">
        <v>706</v>
      </c>
    </row>
    <row r="69" spans="1:3" x14ac:dyDescent="0.25">
      <c r="A69" s="206" t="s">
        <v>707</v>
      </c>
      <c r="B69" s="592" t="str">
        <f>IF(ISBLANK(Petitioner),"",IF(IVD,"("&amp;Petitioner&amp;")",Petitioner))</f>
        <v/>
      </c>
      <c r="C69" s="206" t="s">
        <v>708</v>
      </c>
    </row>
    <row r="70" spans="1:3" s="408" customFormat="1" x14ac:dyDescent="0.25">
      <c r="A70" s="206" t="s">
        <v>709</v>
      </c>
      <c r="B70" s="592" t="str">
        <f>IF(IVD,"STATE OF ARIZONA, ex rel., THE DEPARTMENT OF ECONOMIC SECURITY,","")</f>
        <v/>
      </c>
      <c r="C70" s="206"/>
    </row>
    <row r="71" spans="1:3" s="408" customFormat="1" x14ac:dyDescent="0.25">
      <c r="A71" s="206" t="s">
        <v>710</v>
      </c>
      <c r="B71" s="592" t="str">
        <f>IF(ISBLANK(Worksheet!F14),"",Worksheet!F14)</f>
        <v/>
      </c>
      <c r="C71" s="206" t="s">
        <v>711</v>
      </c>
    </row>
    <row r="72" spans="1:3" x14ac:dyDescent="0.25">
      <c r="A72" s="206" t="s">
        <v>712</v>
      </c>
      <c r="B72" s="555">
        <f ca="1">IF(ISNUMBER(Worksheet!N26),Worksheet!N26,TODAY())</f>
        <v>44925</v>
      </c>
      <c r="C72" s="206" t="s">
        <v>713</v>
      </c>
    </row>
    <row r="73" spans="1:3" s="554" customFormat="1" x14ac:dyDescent="0.25">
      <c r="A73" s="206" t="s">
        <v>714</v>
      </c>
      <c r="B73" s="556">
        <f ca="1">YEAR(WorksheetDate)</f>
        <v>2022</v>
      </c>
      <c r="C73" s="206" t="s">
        <v>715</v>
      </c>
    </row>
    <row r="75" spans="1:3" x14ac:dyDescent="0.25">
      <c r="A75" s="409" t="s">
        <v>716</v>
      </c>
      <c r="B75" s="592"/>
      <c r="C75" s="592"/>
    </row>
    <row r="76" spans="1:3" x14ac:dyDescent="0.25">
      <c r="A76" s="502" t="s">
        <v>717</v>
      </c>
      <c r="B76" s="592"/>
      <c r="C76" s="592"/>
    </row>
    <row r="78" spans="1:3" x14ac:dyDescent="0.25">
      <c r="A78" s="502" t="s">
        <v>718</v>
      </c>
      <c r="B78" s="592"/>
      <c r="C78" s="592"/>
    </row>
  </sheetData>
  <sheetProtection algorithmName="SHA-512" hashValue="h23zpUwVKb+x4t/Cz6y3knHRrzLjODUy8rmSwizH8NnpieaZTAX713f46BIq/eZ4Uv6qgfzMUmt+KEXEqnL92Q==" saltValue="bmQYlXXXrF5BkeOJ54p++w==" spinCount="100000" sheet="1"/>
  <mergeCells count="3">
    <mergeCell ref="A6:C6"/>
    <mergeCell ref="A1:C1"/>
    <mergeCell ref="A61:C61"/>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K88"/>
  <sheetViews>
    <sheetView zoomScale="90" zoomScaleNormal="90" workbookViewId="0"/>
  </sheetViews>
  <sheetFormatPr defaultRowHeight="13.2" x14ac:dyDescent="0.25"/>
  <cols>
    <col min="1" max="1" width="14.5546875" customWidth="1"/>
    <col min="2" max="2" width="12.33203125" customWidth="1"/>
    <col min="3" max="3" width="9.33203125" customWidth="1"/>
    <col min="4" max="4" width="7.5546875" bestFit="1" customWidth="1"/>
    <col min="5" max="5" width="3.6640625" customWidth="1"/>
    <col min="6" max="6" width="6.5546875" customWidth="1"/>
    <col min="7" max="7" width="7.5546875" customWidth="1"/>
    <col min="8" max="8" width="7" bestFit="1" customWidth="1"/>
    <col min="9" max="9" width="27.44140625" customWidth="1"/>
    <col min="10" max="10" width="50.5546875" customWidth="1"/>
  </cols>
  <sheetData>
    <row r="1" spans="1:11" x14ac:dyDescent="0.25">
      <c r="A1" s="68"/>
      <c r="B1" s="40"/>
      <c r="C1" s="40"/>
      <c r="D1" s="40"/>
      <c r="E1" s="40"/>
      <c r="F1" s="40"/>
      <c r="G1" s="40"/>
      <c r="H1" s="40"/>
      <c r="I1" s="40"/>
      <c r="J1" s="40"/>
      <c r="K1" s="592"/>
    </row>
    <row r="2" spans="1:11" ht="15.75" customHeight="1" x14ac:dyDescent="0.3">
      <c r="A2" s="1524" t="s">
        <v>245</v>
      </c>
      <c r="B2" s="865"/>
      <c r="C2" s="865"/>
      <c r="D2" s="865"/>
      <c r="E2" s="865"/>
      <c r="F2" s="865"/>
      <c r="G2" s="865"/>
      <c r="H2" s="865"/>
      <c r="I2" s="865"/>
      <c r="J2" s="629"/>
      <c r="K2" s="43"/>
    </row>
    <row r="3" spans="1:11" ht="15.75" customHeight="1" x14ac:dyDescent="0.3">
      <c r="A3" s="1524" t="str">
        <f>County!D2&amp;" COUNTY"</f>
        <v>Maricopa COUNTY</v>
      </c>
      <c r="B3" s="865"/>
      <c r="C3" s="865"/>
      <c r="D3" s="865"/>
      <c r="E3" s="865"/>
      <c r="F3" s="865"/>
      <c r="G3" s="865"/>
      <c r="H3" s="865"/>
      <c r="I3" s="865"/>
      <c r="J3" s="629"/>
      <c r="K3" s="43"/>
    </row>
    <row r="4" spans="1:11" ht="12.75" customHeight="1" x14ac:dyDescent="0.3">
      <c r="A4" s="1822" t="str">
        <f>PetitionerCaptionPrefix</f>
        <v/>
      </c>
      <c r="B4" s="1822"/>
      <c r="C4" s="1822"/>
      <c r="D4" s="1822"/>
      <c r="E4" s="41"/>
      <c r="F4" s="41"/>
      <c r="G4" s="41"/>
      <c r="H4" s="41"/>
      <c r="I4" s="41"/>
      <c r="J4" s="629"/>
      <c r="K4" s="43"/>
    </row>
    <row r="5" spans="1:11" ht="12.75" customHeight="1" x14ac:dyDescent="0.3">
      <c r="A5" s="1822"/>
      <c r="B5" s="1822"/>
      <c r="C5" s="1822"/>
      <c r="D5" s="1822"/>
      <c r="E5" s="78" t="str">
        <f>IF(NOT(ISBLANK(Worksheet!#REF!)),")","")</f>
        <v>)</v>
      </c>
      <c r="F5" s="41"/>
      <c r="G5" s="41"/>
      <c r="H5" s="41"/>
      <c r="I5" s="41"/>
      <c r="J5" s="629"/>
      <c r="K5" s="43"/>
    </row>
    <row r="6" spans="1:11" ht="12.75" customHeight="1" x14ac:dyDescent="0.25">
      <c r="A6" s="1822"/>
      <c r="B6" s="1822"/>
      <c r="C6" s="1822"/>
      <c r="D6" s="1822"/>
      <c r="E6" s="722" t="s">
        <v>246</v>
      </c>
      <c r="F6" s="263"/>
      <c r="G6" s="263"/>
      <c r="H6" s="263"/>
      <c r="I6" s="263"/>
      <c r="J6" s="629"/>
      <c r="K6" s="43"/>
    </row>
    <row r="7" spans="1:11" ht="15.75" customHeight="1" x14ac:dyDescent="0.3">
      <c r="A7" s="1823" t="str">
        <f>PetitionerCaption</f>
        <v/>
      </c>
      <c r="B7" s="1560"/>
      <c r="C7" s="1560"/>
      <c r="D7" s="1560"/>
      <c r="E7" s="38" t="s">
        <v>246</v>
      </c>
      <c r="F7" s="1820" t="s">
        <v>719</v>
      </c>
      <c r="G7" s="1797" t="s">
        <v>247</v>
      </c>
      <c r="H7" s="865"/>
      <c r="I7" s="1570" t="str">
        <f>CaseNumber</f>
        <v/>
      </c>
      <c r="J7" s="629"/>
      <c r="K7" s="43"/>
    </row>
    <row r="8" spans="1:11" ht="12.75" customHeight="1" x14ac:dyDescent="0.25">
      <c r="A8" s="1824"/>
      <c r="B8" s="1778"/>
      <c r="C8" s="1777" t="s">
        <v>705</v>
      </c>
      <c r="D8" s="1778"/>
      <c r="E8" s="7" t="s">
        <v>246</v>
      </c>
      <c r="F8" s="1820"/>
      <c r="G8" s="865"/>
      <c r="H8" s="865"/>
      <c r="I8" s="1821"/>
      <c r="J8" s="629"/>
      <c r="K8" s="43"/>
    </row>
    <row r="9" spans="1:11" x14ac:dyDescent="0.25">
      <c r="A9" s="864"/>
      <c r="B9" s="865"/>
      <c r="C9" s="865"/>
      <c r="D9" s="865"/>
      <c r="E9" s="7" t="s">
        <v>246</v>
      </c>
      <c r="F9" s="203"/>
      <c r="G9" s="825"/>
      <c r="H9" s="263"/>
      <c r="I9" s="683"/>
      <c r="J9" s="629"/>
      <c r="K9" s="43"/>
    </row>
    <row r="10" spans="1:11" ht="12.75" customHeight="1" x14ac:dyDescent="0.25">
      <c r="A10" s="1718" t="s">
        <v>248</v>
      </c>
      <c r="B10" s="1718"/>
      <c r="C10" s="1718"/>
      <c r="D10" s="865"/>
      <c r="E10" s="7" t="s">
        <v>246</v>
      </c>
      <c r="F10" s="1820" t="s">
        <v>720</v>
      </c>
      <c r="G10" s="1797" t="s">
        <v>721</v>
      </c>
      <c r="H10" s="1193"/>
      <c r="I10" s="1825" t="str">
        <f>IF(ISBLANK(Worksheet!I293),"",Worksheet!I293)</f>
        <v/>
      </c>
      <c r="J10" s="629"/>
      <c r="K10" s="826"/>
    </row>
    <row r="11" spans="1:11" ht="12.75" customHeight="1" x14ac:dyDescent="0.25">
      <c r="A11" s="1558" t="str">
        <f>Respondent</f>
        <v/>
      </c>
      <c r="B11" s="1814"/>
      <c r="C11" s="1814"/>
      <c r="D11" s="1827"/>
      <c r="E11" s="7" t="s">
        <v>246</v>
      </c>
      <c r="F11" s="1820"/>
      <c r="G11" s="1193"/>
      <c r="H11" s="1193"/>
      <c r="I11" s="1826"/>
      <c r="J11" s="629"/>
      <c r="K11" s="43"/>
    </row>
    <row r="12" spans="1:11" ht="12.75" customHeight="1" x14ac:dyDescent="0.25">
      <c r="A12" s="1814"/>
      <c r="B12" s="1814"/>
      <c r="C12" s="1814"/>
      <c r="D12" s="1827"/>
      <c r="E12" s="7" t="s">
        <v>246</v>
      </c>
      <c r="F12" s="263"/>
      <c r="G12" s="263"/>
      <c r="H12" s="40"/>
      <c r="I12" s="40"/>
      <c r="J12" s="629"/>
      <c r="K12" s="43"/>
    </row>
    <row r="13" spans="1:11" ht="15.75" customHeight="1" x14ac:dyDescent="0.25">
      <c r="A13" s="1828"/>
      <c r="B13" s="1828"/>
      <c r="C13" s="1828"/>
      <c r="D13" s="1560"/>
      <c r="E13" s="39" t="s">
        <v>246</v>
      </c>
      <c r="F13" s="40"/>
      <c r="G13" s="1829" t="s">
        <v>722</v>
      </c>
      <c r="H13" s="1193"/>
      <c r="I13" s="1193"/>
      <c r="J13" s="42"/>
      <c r="K13" s="43"/>
    </row>
    <row r="14" spans="1:11" ht="15.75" customHeight="1" x14ac:dyDescent="0.25">
      <c r="A14" s="1779"/>
      <c r="B14" s="1780"/>
      <c r="C14" s="1808" t="s">
        <v>710</v>
      </c>
      <c r="D14" s="1809"/>
      <c r="E14" s="7" t="s">
        <v>246</v>
      </c>
      <c r="F14" s="40"/>
      <c r="G14" s="1830" t="s">
        <v>723</v>
      </c>
      <c r="H14" s="1193"/>
      <c r="I14" s="1193"/>
      <c r="J14" s="42"/>
      <c r="K14" s="43"/>
    </row>
    <row r="15" spans="1:11" x14ac:dyDescent="0.25">
      <c r="A15" s="263"/>
      <c r="B15" s="263"/>
      <c r="C15" s="649"/>
      <c r="D15" s="649"/>
      <c r="E15" s="649"/>
      <c r="F15" s="40"/>
      <c r="G15" s="40"/>
      <c r="H15" s="40"/>
      <c r="I15" s="45"/>
      <c r="J15" s="48"/>
      <c r="K15" s="43"/>
    </row>
    <row r="16" spans="1:11" ht="13.8" x14ac:dyDescent="0.25">
      <c r="A16" s="1569" t="s">
        <v>724</v>
      </c>
      <c r="B16" s="1569"/>
      <c r="C16" s="1569"/>
      <c r="D16" s="1569"/>
      <c r="E16" s="1569"/>
      <c r="F16" s="1569"/>
      <c r="G16" s="1569"/>
      <c r="H16" s="1569"/>
      <c r="I16" s="1569"/>
      <c r="J16" s="629"/>
      <c r="K16" s="43"/>
    </row>
    <row r="17" spans="1:11" ht="13.8" x14ac:dyDescent="0.25">
      <c r="A17" s="161" t="s">
        <v>725</v>
      </c>
      <c r="B17" s="1775"/>
      <c r="C17" s="1776"/>
      <c r="D17" s="1776"/>
      <c r="E17" s="1776"/>
      <c r="F17" s="1776"/>
      <c r="G17" s="263"/>
      <c r="H17" s="109" t="str">
        <f>IF(NOT(ISBLANK(I17)),".","")</f>
        <v/>
      </c>
      <c r="I17" s="108"/>
      <c r="J17" s="629"/>
      <c r="K17" s="43"/>
    </row>
    <row r="18" spans="1:11" ht="13.8" x14ac:dyDescent="0.25">
      <c r="A18" s="827" t="s">
        <v>726</v>
      </c>
      <c r="B18" s="1833" t="str">
        <f>IF(NOT(ISBLANK(B17)),B17,IF(Obligor="Parent A",Worksheet!F12,IF(Obligor="Parent B",Worksheet!F14,"")))</f>
        <v/>
      </c>
      <c r="C18" s="1833"/>
      <c r="D18" s="1833"/>
      <c r="E18" s="1833"/>
      <c r="F18" s="218"/>
      <c r="G18" s="638" t="s">
        <v>727</v>
      </c>
      <c r="H18" s="1819" t="str">
        <f>IF(ISNUMBER(I17),I17,IF(ISNUMBER(Worksheet!I285),Worksheet!I285,""))</f>
        <v/>
      </c>
      <c r="I18" s="982"/>
      <c r="J18" s="629"/>
      <c r="K18" s="592"/>
    </row>
    <row r="19" spans="1:11" ht="12.75" customHeight="1" x14ac:dyDescent="0.25">
      <c r="A19" s="828"/>
      <c r="B19" s="651"/>
      <c r="C19" s="46"/>
      <c r="D19" s="46"/>
      <c r="E19" s="46"/>
      <c r="F19" s="46"/>
      <c r="G19" s="46"/>
      <c r="H19" s="650"/>
      <c r="I19" s="46"/>
      <c r="J19" s="629"/>
      <c r="K19" s="43"/>
    </row>
    <row r="20" spans="1:11" ht="13.8" x14ac:dyDescent="0.25">
      <c r="A20" s="1834" t="s">
        <v>728</v>
      </c>
      <c r="B20" s="1835"/>
      <c r="C20" s="1835"/>
      <c r="D20" s="1835"/>
      <c r="E20" s="1835"/>
      <c r="F20" s="1835"/>
      <c r="G20" s="1835"/>
      <c r="H20" s="1835"/>
      <c r="I20" s="1835"/>
      <c r="J20" s="629"/>
      <c r="K20" s="43"/>
    </row>
    <row r="21" spans="1:11" x14ac:dyDescent="0.25">
      <c r="A21" s="263"/>
      <c r="B21" s="1018"/>
      <c r="C21" s="1018"/>
      <c r="D21" s="644"/>
      <c r="E21" s="263"/>
      <c r="F21" s="263"/>
      <c r="G21" s="263"/>
      <c r="H21" s="263"/>
      <c r="I21" s="263"/>
      <c r="J21" s="629"/>
      <c r="K21" s="43"/>
    </row>
    <row r="22" spans="1:11" x14ac:dyDescent="0.25">
      <c r="A22" s="263"/>
      <c r="B22" s="950" t="s">
        <v>729</v>
      </c>
      <c r="C22" s="950"/>
      <c r="D22" s="951"/>
      <c r="E22" s="951"/>
      <c r="F22" s="1831" t="str">
        <f>IF(ISNUMBER(Worksheet!R124),Worksheet!R124,"")</f>
        <v/>
      </c>
      <c r="G22" s="1831"/>
      <c r="H22" s="263"/>
      <c r="I22" s="263"/>
      <c r="J22" s="629"/>
      <c r="K22" s="44"/>
    </row>
    <row r="23" spans="1:11" s="182" customFormat="1" x14ac:dyDescent="0.25">
      <c r="A23" s="263"/>
      <c r="B23" s="1395" t="s">
        <v>730</v>
      </c>
      <c r="C23" s="951"/>
      <c r="D23" s="951"/>
      <c r="E23" s="951"/>
      <c r="F23" s="1836" t="str">
        <f>IF(OR(ISNUMBER(Worksheet!R125),ISNUMBER(Worksheet!R126),ISNUMBER(Worksheet!R127)),Worksheet!R125+Worksheet!R126+Worksheet!R127,"")</f>
        <v/>
      </c>
      <c r="G23" s="1836"/>
      <c r="H23" s="263"/>
      <c r="I23" s="263"/>
      <c r="J23" s="629"/>
      <c r="K23" s="44"/>
    </row>
    <row r="24" spans="1:11" x14ac:dyDescent="0.25">
      <c r="A24" s="263"/>
      <c r="B24" s="950" t="s">
        <v>731</v>
      </c>
      <c r="C24" s="950"/>
      <c r="D24" s="951"/>
      <c r="E24" s="951"/>
      <c r="F24" s="1774" t="str">
        <f>IF(ISNUMBER(Worksheet!R128),Worksheet!R128,"")</f>
        <v/>
      </c>
      <c r="G24" s="1774"/>
      <c r="H24" s="1039"/>
      <c r="I24" s="1832"/>
      <c r="J24" s="629"/>
      <c r="K24" s="44"/>
    </row>
    <row r="25" spans="1:11" x14ac:dyDescent="0.25">
      <c r="A25" s="263"/>
      <c r="B25" s="1178" t="s">
        <v>732</v>
      </c>
      <c r="C25" s="1395"/>
      <c r="D25" s="1395"/>
      <c r="E25" s="1096"/>
      <c r="F25" s="1774" t="str">
        <f>IF(ISNUMBER(Worksheet!R129),Worksheet!R129,"")</f>
        <v/>
      </c>
      <c r="G25" s="1774"/>
      <c r="H25" s="263"/>
      <c r="I25" s="263"/>
      <c r="J25" s="629"/>
      <c r="K25" s="43"/>
    </row>
    <row r="26" spans="1:11" s="264" customFormat="1" x14ac:dyDescent="0.25">
      <c r="A26" s="263"/>
      <c r="B26" s="1178" t="s">
        <v>733</v>
      </c>
      <c r="C26" s="1193"/>
      <c r="D26" s="1193"/>
      <c r="E26" s="1193"/>
      <c r="F26" s="1774">
        <f>IF(ISNUMBER(Worksheet!R130),Worksheet!R130,"")</f>
        <v>0</v>
      </c>
      <c r="G26" s="1774"/>
      <c r="H26" s="263"/>
      <c r="I26" s="263"/>
      <c r="J26" s="629"/>
      <c r="K26" s="43"/>
    </row>
    <row r="27" spans="1:11" x14ac:dyDescent="0.25">
      <c r="A27" s="263"/>
      <c r="B27" s="950" t="s">
        <v>734</v>
      </c>
      <c r="C27" s="950"/>
      <c r="D27" s="951"/>
      <c r="E27" s="951"/>
      <c r="F27" s="1774">
        <f>IF(ISNUMBER(Worksheet!R131),Worksheet!R131,"")</f>
        <v>8</v>
      </c>
      <c r="G27" s="1774"/>
      <c r="H27" s="1017" t="s">
        <v>735</v>
      </c>
      <c r="I27" s="1017"/>
      <c r="J27" s="629"/>
      <c r="K27" s="43"/>
    </row>
    <row r="28" spans="1:11" x14ac:dyDescent="0.25">
      <c r="A28" s="263"/>
      <c r="B28" s="950"/>
      <c r="C28" s="950"/>
      <c r="D28" s="951"/>
      <c r="E28" s="951"/>
      <c r="F28" s="47"/>
      <c r="G28" s="47"/>
      <c r="H28" s="263"/>
      <c r="I28" s="263"/>
      <c r="J28" s="629"/>
      <c r="K28" s="43"/>
    </row>
    <row r="29" spans="1:11" ht="13.8" thickBot="1" x14ac:dyDescent="0.3">
      <c r="A29" s="263"/>
      <c r="B29" s="1784" t="s">
        <v>736</v>
      </c>
      <c r="C29" s="1785"/>
      <c r="D29" s="865"/>
      <c r="E29" s="865"/>
      <c r="F29" s="1794" t="str">
        <f>IF(SUM(F22:F27)=F27,"",SUM(F22:F27))</f>
        <v/>
      </c>
      <c r="G29" s="1795"/>
      <c r="H29" s="1017" t="s">
        <v>737</v>
      </c>
      <c r="I29" s="1017"/>
      <c r="J29" s="629"/>
      <c r="K29" s="43"/>
    </row>
    <row r="30" spans="1:11" ht="43.5" customHeight="1" thickTop="1" x14ac:dyDescent="0.25">
      <c r="A30" s="1797" t="s">
        <v>738</v>
      </c>
      <c r="B30" s="1817"/>
      <c r="C30" s="1817"/>
      <c r="D30" s="1817"/>
      <c r="E30" s="1817"/>
      <c r="F30" s="1817"/>
      <c r="G30" s="1817"/>
      <c r="H30" s="1817"/>
      <c r="I30" s="1817"/>
      <c r="J30" s="629"/>
      <c r="K30" s="43"/>
    </row>
    <row r="31" spans="1:11" ht="12.75" customHeight="1" x14ac:dyDescent="0.25">
      <c r="A31" s="263"/>
      <c r="B31" s="135"/>
      <c r="C31" s="135"/>
      <c r="D31" s="135"/>
      <c r="E31" s="135"/>
      <c r="F31" s="135"/>
      <c r="G31" s="135"/>
      <c r="H31" s="135"/>
      <c r="I31" s="135"/>
      <c r="J31" s="629"/>
      <c r="K31" s="43"/>
    </row>
    <row r="32" spans="1:11" ht="77.25" customHeight="1" x14ac:dyDescent="0.25">
      <c r="A32" s="1585" t="s">
        <v>739</v>
      </c>
      <c r="B32" s="1585"/>
      <c r="C32" s="1585"/>
      <c r="D32" s="1585"/>
      <c r="E32" s="1585"/>
      <c r="F32" s="1585"/>
      <c r="G32" s="1585"/>
      <c r="H32" s="1585"/>
      <c r="I32" s="1585"/>
      <c r="J32" s="629"/>
      <c r="K32" s="43"/>
    </row>
    <row r="33" spans="1:11" ht="12.75" customHeight="1" x14ac:dyDescent="0.25">
      <c r="A33" s="790"/>
      <c r="B33" s="790"/>
      <c r="C33" s="216" t="str">
        <f>IF(NOT(ISBLANK(D33)),".","")</f>
        <v/>
      </c>
      <c r="D33" s="1812"/>
      <c r="E33" s="1813"/>
      <c r="F33" s="1813"/>
      <c r="G33" s="215"/>
      <c r="H33" s="1811" t="str">
        <f>IF(NOT(ISBLANK(G33)),".","")</f>
        <v/>
      </c>
      <c r="I33" s="1811"/>
      <c r="J33" s="214"/>
      <c r="K33" s="44"/>
    </row>
    <row r="34" spans="1:11" ht="12.75" customHeight="1" x14ac:dyDescent="0.25">
      <c r="A34" s="1585" t="s">
        <v>740</v>
      </c>
      <c r="B34" s="1585"/>
      <c r="C34" s="1585"/>
      <c r="D34" s="1815" t="str">
        <f ca="1">IF(NOT(ISBLANK(Worksheet!J296)),Worksheet!J296,IF(NOT(ISBLANK(D33)),D33,IF(Worksheet!V46="Calculate","",Worksheet!V46)))</f>
        <v/>
      </c>
      <c r="E34" s="1816"/>
      <c r="F34" s="1816"/>
      <c r="G34" s="56" t="str">
        <f ca="1">IF(NOT(ISBLANK(Worksheet!O296)),Worksheet!O296,IF(NOT(ISBLANK(G33)),G33,Worksheet!Z46))</f>
        <v/>
      </c>
      <c r="H34" s="1814" t="s">
        <v>741</v>
      </c>
      <c r="I34" s="865"/>
      <c r="J34" s="829"/>
      <c r="K34" s="44"/>
    </row>
    <row r="35" spans="1:11" ht="12.75" customHeight="1" x14ac:dyDescent="0.25">
      <c r="A35" s="1585" t="s">
        <v>742</v>
      </c>
      <c r="B35" s="1803"/>
      <c r="C35" s="1803"/>
      <c r="D35" s="1803"/>
      <c r="E35" s="1803"/>
      <c r="F35" s="1803"/>
      <c r="G35" s="1803"/>
      <c r="H35" s="1803"/>
      <c r="I35" s="1803"/>
      <c r="J35" s="629"/>
      <c r="K35" s="44"/>
    </row>
    <row r="36" spans="1:11" ht="12.75" customHeight="1" x14ac:dyDescent="0.25">
      <c r="A36" s="790"/>
      <c r="B36" s="723"/>
      <c r="C36" s="723"/>
      <c r="D36" s="723"/>
      <c r="E36" s="723"/>
      <c r="F36" s="723"/>
      <c r="G36" s="723"/>
      <c r="H36" s="723"/>
      <c r="I36" s="692"/>
      <c r="J36" s="629"/>
      <c r="K36" s="44"/>
    </row>
    <row r="37" spans="1:11" ht="12.75" customHeight="1" x14ac:dyDescent="0.25">
      <c r="A37" s="1584" t="s">
        <v>743</v>
      </c>
      <c r="B37" s="1803"/>
      <c r="C37" s="1803"/>
      <c r="D37" s="1796" t="s">
        <v>283</v>
      </c>
      <c r="E37" s="1796"/>
      <c r="F37" s="1796"/>
      <c r="G37" s="1796"/>
      <c r="H37" s="1796"/>
      <c r="I37" s="613"/>
      <c r="J37" s="629"/>
      <c r="K37" s="44"/>
    </row>
    <row r="38" spans="1:11" ht="12.75" customHeight="1" x14ac:dyDescent="0.25">
      <c r="A38" s="699"/>
      <c r="B38" s="723"/>
      <c r="C38" s="723"/>
      <c r="D38" s="1796" t="s">
        <v>284</v>
      </c>
      <c r="E38" s="1796"/>
      <c r="F38" s="1796"/>
      <c r="G38" s="1796"/>
      <c r="H38" s="1796"/>
      <c r="I38" s="613"/>
      <c r="J38" s="629"/>
      <c r="K38" s="44"/>
    </row>
    <row r="39" spans="1:11" ht="12.75" customHeight="1" x14ac:dyDescent="0.25">
      <c r="A39" s="699"/>
      <c r="B39" s="723"/>
      <c r="C39" s="723"/>
      <c r="D39" s="1796" t="s">
        <v>285</v>
      </c>
      <c r="E39" s="1796"/>
      <c r="F39" s="1796"/>
      <c r="G39" s="1796"/>
      <c r="H39" s="1796"/>
      <c r="I39" s="613"/>
      <c r="J39" s="629"/>
      <c r="K39" s="44"/>
    </row>
    <row r="40" spans="1:11" x14ac:dyDescent="0.25">
      <c r="A40" s="263"/>
      <c r="B40" s="263"/>
      <c r="C40" s="263"/>
      <c r="D40" s="263"/>
      <c r="E40" s="263"/>
      <c r="F40" s="263"/>
      <c r="G40" s="263"/>
      <c r="H40" s="263"/>
      <c r="I40" s="654"/>
      <c r="J40" s="629"/>
      <c r="K40" s="44"/>
    </row>
    <row r="41" spans="1:11" ht="40.5" customHeight="1" x14ac:dyDescent="0.25">
      <c r="A41" s="1797" t="s">
        <v>744</v>
      </c>
      <c r="B41" s="1797"/>
      <c r="C41" s="1797"/>
      <c r="D41" s="1797"/>
      <c r="E41" s="1797"/>
      <c r="F41" s="1797"/>
      <c r="G41" s="1797"/>
      <c r="H41" s="1797"/>
      <c r="I41" s="1797"/>
      <c r="J41" s="629"/>
      <c r="K41" s="43"/>
    </row>
    <row r="42" spans="1:11" x14ac:dyDescent="0.25">
      <c r="A42" s="263"/>
      <c r="B42" s="263"/>
      <c r="C42" s="263"/>
      <c r="D42" s="263"/>
      <c r="E42" s="263"/>
      <c r="F42" s="263"/>
      <c r="G42" s="263"/>
      <c r="H42" s="263"/>
      <c r="I42" s="263"/>
      <c r="J42" s="629"/>
      <c r="K42" s="43"/>
    </row>
    <row r="43" spans="1:11" x14ac:dyDescent="0.25">
      <c r="A43" s="72" t="str">
        <f>IF(NOT(ISBLANK(A44)),".","")</f>
        <v/>
      </c>
      <c r="B43" s="203"/>
      <c r="C43" s="203"/>
      <c r="D43" s="203"/>
      <c r="E43" s="203"/>
      <c r="F43" s="203"/>
      <c r="G43" s="203"/>
      <c r="H43" s="203"/>
      <c r="I43" s="203"/>
      <c r="J43" s="629"/>
      <c r="K43" s="43"/>
    </row>
    <row r="44" spans="1:11" x14ac:dyDescent="0.25">
      <c r="A44" s="864"/>
      <c r="B44" s="864"/>
      <c r="C44" s="864"/>
      <c r="D44" s="203"/>
      <c r="E44" s="203"/>
      <c r="F44" s="203"/>
      <c r="G44" s="203"/>
      <c r="H44" s="203"/>
      <c r="I44" s="203"/>
      <c r="J44" s="629"/>
      <c r="K44" s="43"/>
    </row>
    <row r="45" spans="1:11" x14ac:dyDescent="0.25">
      <c r="A45" s="1837">
        <f ca="1">OrderDate</f>
        <v>44925</v>
      </c>
      <c r="B45" s="1837"/>
      <c r="C45" s="1838"/>
      <c r="D45" s="54"/>
      <c r="E45" s="203"/>
      <c r="F45" s="748"/>
      <c r="G45" s="748"/>
      <c r="H45" s="748"/>
      <c r="I45" s="748"/>
      <c r="J45" s="629"/>
      <c r="K45" s="43"/>
    </row>
    <row r="46" spans="1:11" x14ac:dyDescent="0.25">
      <c r="A46" s="1788" t="s">
        <v>310</v>
      </c>
      <c r="B46" s="1788"/>
      <c r="C46" s="830"/>
      <c r="D46" s="831"/>
      <c r="E46" s="203"/>
      <c r="F46" s="1282" t="s">
        <v>745</v>
      </c>
      <c r="G46" s="1282"/>
      <c r="H46" s="1282"/>
      <c r="I46" s="1282"/>
      <c r="J46" s="629"/>
      <c r="K46" s="43"/>
    </row>
    <row r="47" spans="1:11" x14ac:dyDescent="0.25">
      <c r="A47" s="40"/>
      <c r="B47" s="40"/>
      <c r="C47" s="40"/>
      <c r="D47" s="40"/>
      <c r="E47" s="40"/>
      <c r="F47" s="40"/>
      <c r="G47" s="40"/>
      <c r="H47" s="40"/>
      <c r="I47" s="40"/>
      <c r="J47" s="629"/>
      <c r="K47" s="43"/>
    </row>
    <row r="48" spans="1:11" x14ac:dyDescent="0.25">
      <c r="A48" s="40"/>
      <c r="B48" s="40"/>
      <c r="C48" s="40"/>
      <c r="D48" s="40"/>
      <c r="E48" s="40"/>
      <c r="F48" s="40"/>
      <c r="G48" s="40"/>
      <c r="H48" s="40"/>
      <c r="I48" s="40"/>
      <c r="J48" s="592"/>
      <c r="K48" s="592"/>
    </row>
    <row r="49" spans="1:9" x14ac:dyDescent="0.25">
      <c r="A49" s="1789" t="s">
        <v>746</v>
      </c>
      <c r="B49" s="1789"/>
      <c r="C49" s="1789"/>
      <c r="D49" s="1789"/>
      <c r="E49" s="1789"/>
      <c r="F49" s="1789"/>
      <c r="G49" s="1789"/>
      <c r="H49" s="1789"/>
      <c r="I49" s="1789"/>
    </row>
    <row r="50" spans="1:9" x14ac:dyDescent="0.25">
      <c r="A50" s="1790" t="s">
        <v>747</v>
      </c>
      <c r="B50" s="1790"/>
      <c r="C50" s="1790"/>
      <c r="D50" s="1790"/>
      <c r="E50" s="1790"/>
      <c r="F50" s="1790"/>
      <c r="G50" s="1790"/>
      <c r="H50" s="1790"/>
      <c r="I50" s="1790"/>
    </row>
    <row r="51" spans="1:9" x14ac:dyDescent="0.25">
      <c r="A51" s="1791" t="s">
        <v>748</v>
      </c>
      <c r="B51" s="1790"/>
      <c r="C51" s="1790"/>
      <c r="D51" s="1790"/>
      <c r="E51" s="1790"/>
      <c r="F51" s="1790"/>
      <c r="G51" s="1790"/>
      <c r="H51" s="1790"/>
      <c r="I51" s="1790"/>
    </row>
    <row r="52" spans="1:9" x14ac:dyDescent="0.25">
      <c r="A52" s="40"/>
      <c r="B52" s="40"/>
      <c r="C52" s="40"/>
      <c r="D52" s="40"/>
      <c r="E52" s="40"/>
      <c r="F52" s="40"/>
      <c r="G52" s="40"/>
      <c r="H52" s="40"/>
      <c r="I52" s="40"/>
    </row>
    <row r="53" spans="1:9" x14ac:dyDescent="0.25">
      <c r="A53" s="76" t="s">
        <v>749</v>
      </c>
      <c r="B53" s="1792" t="str">
        <f>CaseNumber</f>
        <v/>
      </c>
      <c r="C53" s="1792"/>
      <c r="D53" s="40"/>
      <c r="E53" s="76" t="s">
        <v>750</v>
      </c>
      <c r="F53" s="40"/>
      <c r="G53" s="40"/>
      <c r="H53" s="1818" t="str">
        <f>IF(ISBLANK(Worksheet!I293),"",Worksheet!I293)</f>
        <v/>
      </c>
      <c r="I53" s="1818"/>
    </row>
    <row r="54" spans="1:9" x14ac:dyDescent="0.25">
      <c r="A54" s="40"/>
      <c r="B54" s="40"/>
      <c r="C54" s="40"/>
      <c r="D54" s="40"/>
      <c r="E54" s="40"/>
      <c r="F54" s="40"/>
      <c r="G54" s="40"/>
      <c r="H54" s="40"/>
      <c r="I54" s="40"/>
    </row>
    <row r="55" spans="1:9" x14ac:dyDescent="0.25">
      <c r="A55" s="76" t="s">
        <v>751</v>
      </c>
      <c r="B55" s="1818" t="str">
        <f>IF(ISBLANK($B$18),"",$B$18)</f>
        <v/>
      </c>
      <c r="C55" s="1818"/>
      <c r="D55" s="1818"/>
      <c r="E55" s="76"/>
      <c r="F55" s="40"/>
      <c r="G55" s="76" t="s">
        <v>390</v>
      </c>
      <c r="H55" s="1810" t="str">
        <f>IF(ISBLANK(Worksheet!I285),"",Worksheet!I285)</f>
        <v/>
      </c>
      <c r="I55" s="1810"/>
    </row>
    <row r="56" spans="1:9" x14ac:dyDescent="0.25">
      <c r="A56" s="77" t="s">
        <v>752</v>
      </c>
      <c r="B56" s="40"/>
      <c r="C56" s="40"/>
      <c r="D56" s="40"/>
      <c r="E56" s="40"/>
      <c r="F56" s="40"/>
      <c r="G56" s="40"/>
      <c r="H56" s="40"/>
      <c r="I56" s="40"/>
    </row>
    <row r="57" spans="1:9" x14ac:dyDescent="0.25">
      <c r="A57" s="40"/>
      <c r="B57" s="40"/>
      <c r="C57" s="40"/>
      <c r="D57" s="40"/>
      <c r="E57" s="40"/>
      <c r="F57" s="40"/>
      <c r="G57" s="40"/>
      <c r="H57" s="40"/>
      <c r="I57" s="40"/>
    </row>
    <row r="58" spans="1:9" x14ac:dyDescent="0.25">
      <c r="A58" s="1798" t="s">
        <v>753</v>
      </c>
      <c r="B58" s="1799"/>
      <c r="C58" s="1799"/>
      <c r="D58" s="1799"/>
      <c r="E58" s="1799"/>
      <c r="F58" s="1799"/>
      <c r="G58" s="1799"/>
      <c r="H58" s="1799"/>
      <c r="I58" s="1799"/>
    </row>
    <row r="59" spans="1:9" x14ac:dyDescent="0.25">
      <c r="A59" s="1799"/>
      <c r="B59" s="1799"/>
      <c r="C59" s="1799"/>
      <c r="D59" s="1799"/>
      <c r="E59" s="1799"/>
      <c r="F59" s="1799"/>
      <c r="G59" s="1799"/>
      <c r="H59" s="1799"/>
      <c r="I59" s="1799"/>
    </row>
    <row r="60" spans="1:9" x14ac:dyDescent="0.25">
      <c r="A60" s="40"/>
      <c r="B60" s="40"/>
      <c r="C60" s="40"/>
      <c r="D60" s="40"/>
      <c r="E60" s="40"/>
      <c r="F60" s="40"/>
      <c r="G60" s="40"/>
      <c r="H60" s="40"/>
      <c r="I60" s="40"/>
    </row>
    <row r="61" spans="1:9" ht="15.6" x14ac:dyDescent="0.3">
      <c r="A61" s="1786" t="s">
        <v>754</v>
      </c>
      <c r="B61" s="1786"/>
      <c r="C61" s="1787"/>
      <c r="D61" s="1787"/>
      <c r="E61" s="1787"/>
      <c r="F61" s="1787"/>
      <c r="G61" s="1787"/>
      <c r="H61" s="1787"/>
      <c r="I61" s="1787"/>
    </row>
    <row r="62" spans="1:9" ht="15" x14ac:dyDescent="0.25">
      <c r="A62" s="228"/>
      <c r="B62" s="228"/>
      <c r="C62" s="229"/>
      <c r="D62" s="229"/>
      <c r="E62" s="229"/>
      <c r="F62" s="229"/>
      <c r="G62" s="229"/>
      <c r="H62" s="229"/>
      <c r="I62" s="229"/>
    </row>
    <row r="63" spans="1:9" ht="15.6" x14ac:dyDescent="0.3">
      <c r="A63" s="1786" t="s">
        <v>755</v>
      </c>
      <c r="B63" s="1786"/>
      <c r="C63" s="1787"/>
      <c r="D63" s="1787"/>
      <c r="E63" s="1787"/>
      <c r="F63" s="1787"/>
      <c r="G63" s="1787"/>
      <c r="H63" s="1787"/>
      <c r="I63" s="1787"/>
    </row>
    <row r="64" spans="1:9" ht="15" x14ac:dyDescent="0.25">
      <c r="A64" s="228"/>
      <c r="B64" s="228"/>
      <c r="C64" s="1802"/>
      <c r="D64" s="1802"/>
      <c r="E64" s="1802"/>
      <c r="F64" s="1802"/>
      <c r="G64" s="1802"/>
      <c r="H64" s="1802"/>
      <c r="I64" s="1802"/>
    </row>
    <row r="65" spans="1:9" ht="15.6" x14ac:dyDescent="0.3">
      <c r="A65" s="1786" t="s">
        <v>756</v>
      </c>
      <c r="B65" s="1805"/>
      <c r="C65" s="1804"/>
      <c r="D65" s="1804"/>
      <c r="E65" s="1804"/>
      <c r="F65" s="1804"/>
      <c r="G65" s="1804"/>
      <c r="H65" s="1804"/>
      <c r="I65" s="726"/>
    </row>
    <row r="66" spans="1:9" s="226" customFormat="1" ht="15.6" x14ac:dyDescent="0.3">
      <c r="A66" s="230"/>
      <c r="B66" s="231"/>
      <c r="C66" s="727" t="s">
        <v>757</v>
      </c>
      <c r="D66" s="232"/>
      <c r="E66" s="727"/>
      <c r="F66" s="727"/>
      <c r="G66" s="727" t="s">
        <v>758</v>
      </c>
      <c r="H66" s="233"/>
      <c r="I66" s="727" t="s">
        <v>759</v>
      </c>
    </row>
    <row r="67" spans="1:9" s="226" customFormat="1" ht="15.6" x14ac:dyDescent="0.3">
      <c r="A67" s="230"/>
      <c r="B67" s="231"/>
      <c r="C67" s="727"/>
      <c r="D67" s="232"/>
      <c r="E67" s="727"/>
      <c r="F67" s="727"/>
      <c r="G67" s="727"/>
      <c r="H67" s="233"/>
      <c r="I67" s="727"/>
    </row>
    <row r="68" spans="1:9" s="226" customFormat="1" ht="15.6" x14ac:dyDescent="0.3">
      <c r="A68" s="1786" t="s">
        <v>760</v>
      </c>
      <c r="B68" s="1805"/>
      <c r="C68" s="1806"/>
      <c r="D68" s="1807"/>
      <c r="E68" s="1807"/>
      <c r="F68" s="1807"/>
      <c r="G68" s="1807"/>
      <c r="H68" s="233"/>
      <c r="I68" s="727"/>
    </row>
    <row r="69" spans="1:9" ht="15.6" x14ac:dyDescent="0.3">
      <c r="A69" s="721"/>
      <c r="B69" s="721"/>
      <c r="C69" s="232"/>
      <c r="D69" s="232"/>
      <c r="E69" s="232"/>
      <c r="F69" s="232"/>
      <c r="G69" s="232"/>
      <c r="H69" s="229"/>
      <c r="I69" s="229"/>
    </row>
    <row r="70" spans="1:9" ht="15.6" x14ac:dyDescent="0.3">
      <c r="A70" s="1786" t="s">
        <v>761</v>
      </c>
      <c r="B70" s="1786"/>
      <c r="C70" s="1806"/>
      <c r="D70" s="1807"/>
      <c r="E70" s="1807"/>
      <c r="F70" s="1807"/>
      <c r="G70" s="1807"/>
      <c r="H70" s="229"/>
      <c r="I70" s="229"/>
    </row>
    <row r="71" spans="1:9" ht="15" x14ac:dyDescent="0.25">
      <c r="A71" s="229"/>
      <c r="B71" s="229"/>
      <c r="C71" s="229"/>
      <c r="D71" s="229"/>
      <c r="E71" s="229"/>
      <c r="F71" s="229"/>
      <c r="G71" s="229"/>
      <c r="H71" s="229"/>
      <c r="I71" s="229"/>
    </row>
    <row r="72" spans="1:9" x14ac:dyDescent="0.25">
      <c r="A72" s="1783"/>
      <c r="B72" s="1783"/>
      <c r="C72" s="1782"/>
      <c r="D72" s="1782"/>
      <c r="E72" s="1782"/>
      <c r="F72" s="40"/>
      <c r="G72" s="40"/>
      <c r="H72" s="40"/>
      <c r="I72" s="40"/>
    </row>
    <row r="73" spans="1:9" x14ac:dyDescent="0.25">
      <c r="A73" s="40"/>
      <c r="B73" s="40"/>
      <c r="C73" s="40"/>
      <c r="D73" s="40"/>
      <c r="E73" s="40"/>
      <c r="F73" s="40"/>
      <c r="G73" s="40"/>
      <c r="H73" s="40"/>
      <c r="I73" s="40"/>
    </row>
    <row r="74" spans="1:9" x14ac:dyDescent="0.25">
      <c r="A74" s="40"/>
      <c r="B74" s="40"/>
      <c r="C74" s="40"/>
      <c r="D74" s="40"/>
      <c r="E74" s="40"/>
      <c r="F74" s="40"/>
      <c r="G74" s="40"/>
      <c r="H74" s="40"/>
      <c r="I74" s="40"/>
    </row>
    <row r="75" spans="1:9" x14ac:dyDescent="0.25">
      <c r="A75" s="40"/>
      <c r="B75" s="40"/>
      <c r="C75" s="40"/>
      <c r="D75" s="40"/>
      <c r="E75" s="40"/>
      <c r="F75" s="40"/>
      <c r="G75" s="40"/>
      <c r="H75" s="40"/>
      <c r="I75" s="40"/>
    </row>
    <row r="76" spans="1:9" x14ac:dyDescent="0.25">
      <c r="A76" s="40"/>
      <c r="B76" s="40"/>
      <c r="C76" s="40"/>
      <c r="D76" s="40"/>
      <c r="E76" s="40"/>
      <c r="F76" s="40"/>
      <c r="G76" s="40"/>
      <c r="H76" s="40"/>
      <c r="I76" s="40"/>
    </row>
    <row r="77" spans="1:9" x14ac:dyDescent="0.25">
      <c r="A77" s="40"/>
      <c r="B77" s="40"/>
      <c r="C77" s="76" t="s">
        <v>762</v>
      </c>
      <c r="D77" s="40"/>
      <c r="E77" s="40"/>
      <c r="F77" s="40"/>
      <c r="G77" s="40"/>
      <c r="H77" s="40"/>
      <c r="I77" s="40"/>
    </row>
    <row r="78" spans="1:9" x14ac:dyDescent="0.25">
      <c r="A78" s="40"/>
      <c r="B78" s="40"/>
      <c r="C78" s="40"/>
      <c r="D78" s="40"/>
      <c r="E78" s="40"/>
      <c r="F78" s="40"/>
      <c r="G78" s="40"/>
      <c r="H78" s="40"/>
      <c r="I78" s="40"/>
    </row>
    <row r="79" spans="1:9" x14ac:dyDescent="0.25">
      <c r="A79" s="40"/>
      <c r="B79" s="1793" t="s">
        <v>763</v>
      </c>
      <c r="C79" s="1793"/>
      <c r="D79" s="1801"/>
      <c r="E79" s="1801"/>
      <c r="F79" s="1801"/>
      <c r="G79" s="1801"/>
      <c r="H79" s="1801"/>
      <c r="I79" s="1801"/>
    </row>
    <row r="80" spans="1:9" x14ac:dyDescent="0.25">
      <c r="A80" s="40"/>
      <c r="B80" s="1793" t="s">
        <v>764</v>
      </c>
      <c r="C80" s="1793"/>
      <c r="D80" s="1800"/>
      <c r="E80" s="1800"/>
      <c r="F80" s="1800"/>
      <c r="G80" s="1800"/>
      <c r="H80" s="1800"/>
      <c r="I80" s="1800"/>
    </row>
    <row r="81" spans="1:9" x14ac:dyDescent="0.25">
      <c r="A81" s="40"/>
      <c r="B81" s="1793" t="s">
        <v>765</v>
      </c>
      <c r="C81" s="1793"/>
      <c r="D81" s="1800"/>
      <c r="E81" s="1800"/>
      <c r="F81" s="1800"/>
      <c r="G81" s="1800"/>
      <c r="H81" s="1800"/>
      <c r="I81" s="1800"/>
    </row>
    <row r="82" spans="1:9" x14ac:dyDescent="0.25">
      <c r="A82" s="40"/>
      <c r="B82" s="1793" t="s">
        <v>766</v>
      </c>
      <c r="C82" s="1793"/>
      <c r="D82" s="1800"/>
      <c r="E82" s="1800"/>
      <c r="F82" s="1800"/>
      <c r="G82" s="1800"/>
      <c r="H82" s="1800"/>
      <c r="I82" s="1800"/>
    </row>
    <row r="83" spans="1:9" x14ac:dyDescent="0.25">
      <c r="A83" s="40"/>
      <c r="B83" s="1793" t="s">
        <v>767</v>
      </c>
      <c r="C83" s="1793"/>
      <c r="D83" s="1800"/>
      <c r="E83" s="1800"/>
      <c r="F83" s="1800"/>
      <c r="G83" s="1800"/>
      <c r="H83" s="1800"/>
      <c r="I83" s="1800"/>
    </row>
    <row r="84" spans="1:9" x14ac:dyDescent="0.25">
      <c r="A84" s="40"/>
      <c r="B84" s="1793" t="s">
        <v>768</v>
      </c>
      <c r="C84" s="1793"/>
      <c r="D84" s="1801"/>
      <c r="E84" s="1801"/>
      <c r="F84" s="1801"/>
      <c r="G84" s="1801"/>
      <c r="H84" s="1801"/>
      <c r="I84" s="1801"/>
    </row>
    <row r="85" spans="1:9" x14ac:dyDescent="0.25">
      <c r="A85" s="40"/>
      <c r="B85" s="1793" t="s">
        <v>769</v>
      </c>
      <c r="C85" s="1793"/>
      <c r="D85" s="1781"/>
      <c r="E85" s="1781"/>
      <c r="F85" s="1781"/>
      <c r="G85" s="1781"/>
      <c r="H85" s="720" t="s">
        <v>770</v>
      </c>
      <c r="I85" s="725"/>
    </row>
    <row r="86" spans="1:9" x14ac:dyDescent="0.25">
      <c r="A86" s="40"/>
      <c r="B86" s="1793" t="s">
        <v>771</v>
      </c>
      <c r="C86" s="1793"/>
      <c r="D86" s="1781"/>
      <c r="E86" s="1781"/>
      <c r="F86" s="1781"/>
      <c r="G86" s="1781"/>
      <c r="H86" s="720" t="s">
        <v>772</v>
      </c>
      <c r="I86" s="724"/>
    </row>
    <row r="87" spans="1:9" x14ac:dyDescent="0.25">
      <c r="A87" s="40"/>
      <c r="B87" s="40"/>
      <c r="C87" s="40"/>
      <c r="D87" s="40"/>
      <c r="E87" s="40"/>
      <c r="F87" s="40"/>
      <c r="G87" s="40"/>
      <c r="H87" s="40"/>
      <c r="I87" s="40"/>
    </row>
    <row r="88" spans="1:9" x14ac:dyDescent="0.25">
      <c r="A88" s="40"/>
      <c r="B88" s="40"/>
      <c r="C88" s="40"/>
      <c r="D88" s="40"/>
      <c r="E88" s="40"/>
      <c r="F88" s="40"/>
      <c r="G88" s="40"/>
      <c r="H88" s="40"/>
      <c r="I88" s="40"/>
    </row>
  </sheetData>
  <sheetProtection algorithmName="SHA-512" hashValue="+i5oJeqohH16xU9lQdsbM1HNE4q+dAj4WpJdsiG047Wxy8kQv5fwAQgYGeMtAG1YB8RmYkyHwYajt2/V6Aa1kg==" saltValue="kj9b86hfmE92MZyt3M4edQ==" spinCount="100000" sheet="1" objects="1" scenarios="1"/>
  <mergeCells count="98">
    <mergeCell ref="B82:C82"/>
    <mergeCell ref="B83:C83"/>
    <mergeCell ref="B84:C84"/>
    <mergeCell ref="A20:I20"/>
    <mergeCell ref="B22:E22"/>
    <mergeCell ref="B24:E24"/>
    <mergeCell ref="F24:G24"/>
    <mergeCell ref="F23:G23"/>
    <mergeCell ref="B21:C21"/>
    <mergeCell ref="B23:E23"/>
    <mergeCell ref="A45:C45"/>
    <mergeCell ref="B79:C79"/>
    <mergeCell ref="F46:I46"/>
    <mergeCell ref="D37:H37"/>
    <mergeCell ref="H53:I53"/>
    <mergeCell ref="A65:B65"/>
    <mergeCell ref="A2:I2"/>
    <mergeCell ref="A3:I3"/>
    <mergeCell ref="B27:E27"/>
    <mergeCell ref="B25:E25"/>
    <mergeCell ref="A9:D9"/>
    <mergeCell ref="A10:D10"/>
    <mergeCell ref="A16:I16"/>
    <mergeCell ref="I10:I11"/>
    <mergeCell ref="A11:D13"/>
    <mergeCell ref="F10:F11"/>
    <mergeCell ref="G10:H11"/>
    <mergeCell ref="G13:I13"/>
    <mergeCell ref="G14:I14"/>
    <mergeCell ref="F22:G22"/>
    <mergeCell ref="H24:I24"/>
    <mergeCell ref="B18:E18"/>
    <mergeCell ref="H18:I18"/>
    <mergeCell ref="F7:F8"/>
    <mergeCell ref="I7:I8"/>
    <mergeCell ref="G7:H8"/>
    <mergeCell ref="A4:D6"/>
    <mergeCell ref="A7:D7"/>
    <mergeCell ref="A8:B8"/>
    <mergeCell ref="C70:G70"/>
    <mergeCell ref="C14:D14"/>
    <mergeCell ref="F25:G25"/>
    <mergeCell ref="H55:I55"/>
    <mergeCell ref="H27:I27"/>
    <mergeCell ref="H33:I33"/>
    <mergeCell ref="D33:F33"/>
    <mergeCell ref="H34:I34"/>
    <mergeCell ref="D34:F34"/>
    <mergeCell ref="A32:I32"/>
    <mergeCell ref="A30:I30"/>
    <mergeCell ref="A34:C34"/>
    <mergeCell ref="F27:G27"/>
    <mergeCell ref="H29:I29"/>
    <mergeCell ref="A35:I35"/>
    <mergeCell ref="B55:D55"/>
    <mergeCell ref="A37:C37"/>
    <mergeCell ref="D38:H38"/>
    <mergeCell ref="C65:F65"/>
    <mergeCell ref="G65:H65"/>
    <mergeCell ref="A68:B68"/>
    <mergeCell ref="C68:G68"/>
    <mergeCell ref="B28:E28"/>
    <mergeCell ref="D86:G86"/>
    <mergeCell ref="A58:I59"/>
    <mergeCell ref="D81:I81"/>
    <mergeCell ref="D82:I82"/>
    <mergeCell ref="D83:I83"/>
    <mergeCell ref="D84:I84"/>
    <mergeCell ref="A70:B70"/>
    <mergeCell ref="D79:I79"/>
    <mergeCell ref="D80:I80"/>
    <mergeCell ref="A63:B63"/>
    <mergeCell ref="C63:I63"/>
    <mergeCell ref="C64:I64"/>
    <mergeCell ref="B80:C80"/>
    <mergeCell ref="B85:C85"/>
    <mergeCell ref="B86:C86"/>
    <mergeCell ref="D85:G85"/>
    <mergeCell ref="C72:E72"/>
    <mergeCell ref="A72:B72"/>
    <mergeCell ref="B29:E29"/>
    <mergeCell ref="A61:B61"/>
    <mergeCell ref="C61:I61"/>
    <mergeCell ref="A46:B46"/>
    <mergeCell ref="A44:C44"/>
    <mergeCell ref="A49:I49"/>
    <mergeCell ref="A50:I50"/>
    <mergeCell ref="A51:I51"/>
    <mergeCell ref="B53:C53"/>
    <mergeCell ref="B81:C81"/>
    <mergeCell ref="F29:G29"/>
    <mergeCell ref="D39:H39"/>
    <mergeCell ref="A41:I41"/>
    <mergeCell ref="B26:E26"/>
    <mergeCell ref="F26:G26"/>
    <mergeCell ref="B17:F17"/>
    <mergeCell ref="C8:D8"/>
    <mergeCell ref="A14:B14"/>
  </mergeCells>
  <phoneticPr fontId="0" type="noConversion"/>
  <conditionalFormatting sqref="A17">
    <cfRule type="expression" dxfId="140" priority="1" stopIfTrue="1">
      <formula>ISBLANK(B17)</formula>
    </cfRule>
  </conditionalFormatting>
  <dataValidations disablePrompts="1" xWindow="656" yWindow="290" count="8">
    <dataValidation allowBlank="1" showInputMessage="1" showErrorMessage="1" promptTitle="Respondent" prompt="Enter Respondent's Name If Not Present" sqref="A10:C10" xr:uid="{00000000-0002-0000-0400-000000000000}"/>
    <dataValidation allowBlank="1" showInputMessage="1" showErrorMessage="1" promptTitle="Case Number" prompt="Case Number Can't Be Changed Here.  Go To Worksheet To Enter or Change Case Number." sqref="I7:I8" xr:uid="{00000000-0002-0000-0400-000001000000}"/>
    <dataValidation allowBlank="1" showInputMessage="1" showErrorMessage="1" promptTitle="Petitioner's Name" prompt="Petitioner's Name Can't Be Changed or Entered Here.  Go To The Worksheet To Enter Petitioner's Correct Name." sqref="A7" xr:uid="{00000000-0002-0000-0400-000002000000}"/>
    <dataValidation allowBlank="1" showInputMessage="1" showErrorMessage="1" promptTitle="Respondent's Name" prompt="Respondent's Name Can't Be Changed or Entered Here.  Go To The Worksheet To Enter Respondent's Correct Name." sqref="A11:C13" xr:uid="{00000000-0002-0000-0400-000003000000}"/>
    <dataValidation allowBlank="1" showInputMessage="1" showErrorMessage="1" promptTitle="Actual Termination Date" prompt="If You Want To Change The Presumptive Termination Date To An Actual Termination Date Enter Month and Day of Actual Termination Date Here--DO NOT ENTER YEAR." sqref="D33" xr:uid="{00000000-0002-0000-0400-000004000000}"/>
    <dataValidation allowBlank="1" showInputMessage="1" showErrorMessage="1" promptTitle="Actual Termination Year" prompt="If You Want To Change The Presumptive Termination Date To An Actual Termination Date Enter Year of Actual Termination Date Here." sqref="G33" xr:uid="{00000000-0002-0000-0400-000005000000}"/>
    <dataValidation allowBlank="1" showInputMessage="1" showErrorMessage="1" promptTitle="Social Security Number" prompt="Enter Social Security Number Here If Not Present." sqref="I17" xr:uid="{00000000-0002-0000-0400-000006000000}"/>
    <dataValidation allowBlank="1" showInputMessage="1" showErrorMessage="1" promptTitle="Payor's Name" prompt="Input Name of Obligor here if not present from Worsheet." sqref="B17:F17" xr:uid="{00000000-0002-0000-0400-000007000000}"/>
  </dataValidations>
  <hyperlinks>
    <hyperlink ref="A51" r:id="rId1" xr:uid="{00000000-0004-0000-0400-000000000000}"/>
  </hyperlinks>
  <pageMargins left="1.01" right="0.57999999999999996" top="0.76" bottom="0.55000000000000004" header="0.37" footer="0.5"/>
  <pageSetup scale="90" orientation="portrait" r:id="rId2"/>
  <headerFooter alignWithMargins="0"/>
  <rowBreaks count="1" manualBreakCount="1">
    <brk id="47"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A203"/>
  <sheetViews>
    <sheetView topLeftCell="A196" workbookViewId="0"/>
  </sheetViews>
  <sheetFormatPr defaultColWidth="9.33203125" defaultRowHeight="13.2" x14ac:dyDescent="0.25"/>
  <cols>
    <col min="1" max="1" width="11" style="116" customWidth="1"/>
    <col min="2" max="2" width="134.6640625" style="51" customWidth="1"/>
    <col min="3" max="12" width="9.33203125" style="51"/>
    <col min="13" max="13" width="8.6640625" style="51" customWidth="1"/>
    <col min="14" max="15" width="9.33203125" style="51" hidden="1" customWidth="1"/>
    <col min="16" max="16384" width="9.33203125" style="51"/>
  </cols>
  <sheetData>
    <row r="1" spans="1:27" x14ac:dyDescent="0.25">
      <c r="A1" s="462"/>
      <c r="B1" s="463" t="s">
        <v>773</v>
      </c>
      <c r="C1" s="694"/>
      <c r="D1" s="694"/>
      <c r="E1" s="694"/>
      <c r="F1" s="694"/>
      <c r="G1" s="694"/>
      <c r="H1" s="694"/>
      <c r="I1" s="694"/>
      <c r="J1" s="694"/>
      <c r="K1" s="694"/>
      <c r="L1" s="694"/>
      <c r="M1" s="694"/>
      <c r="N1" s="694"/>
      <c r="O1" s="694"/>
      <c r="P1" s="694"/>
      <c r="Q1" s="694"/>
      <c r="R1" s="694"/>
      <c r="S1" s="694"/>
      <c r="T1" s="694"/>
      <c r="U1" s="694"/>
      <c r="V1" s="694"/>
      <c r="W1" s="694"/>
      <c r="X1" s="694"/>
      <c r="Y1" s="694"/>
      <c r="Z1" s="694"/>
      <c r="AA1" s="694"/>
    </row>
    <row r="2" spans="1:27" ht="34.5" customHeight="1" x14ac:dyDescent="0.25">
      <c r="A2" s="462"/>
      <c r="B2" s="343" t="s">
        <v>774</v>
      </c>
      <c r="C2" s="343"/>
      <c r="D2" s="343"/>
      <c r="E2" s="343"/>
      <c r="F2" s="343"/>
      <c r="G2" s="343"/>
      <c r="H2" s="343"/>
      <c r="I2" s="343"/>
      <c r="J2" s="343"/>
      <c r="K2" s="343"/>
      <c r="L2" s="343"/>
      <c r="M2" s="343"/>
      <c r="N2" s="343"/>
      <c r="O2" s="343"/>
      <c r="P2" s="343"/>
      <c r="Q2" s="343"/>
      <c r="R2" s="343"/>
      <c r="S2" s="343"/>
      <c r="T2" s="343"/>
      <c r="U2" s="343"/>
      <c r="V2" s="343"/>
      <c r="W2" s="343"/>
      <c r="X2" s="343"/>
      <c r="Y2" s="343"/>
      <c r="Z2" s="343"/>
      <c r="AA2" s="79"/>
    </row>
    <row r="3" spans="1:27" ht="30" customHeight="1" x14ac:dyDescent="0.25">
      <c r="A3" s="462"/>
      <c r="B3" s="343" t="s">
        <v>775</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row>
    <row r="4" spans="1:27" ht="39.75" customHeight="1" x14ac:dyDescent="0.25">
      <c r="A4" s="462"/>
      <c r="B4" s="343" t="s">
        <v>776</v>
      </c>
      <c r="C4" s="343"/>
      <c r="D4" s="343"/>
      <c r="E4" s="343"/>
      <c r="F4" s="343"/>
      <c r="G4" s="343"/>
      <c r="H4" s="343"/>
      <c r="I4" s="343"/>
      <c r="J4" s="343"/>
      <c r="K4" s="343"/>
      <c r="L4" s="343"/>
      <c r="M4" s="343"/>
      <c r="N4" s="343"/>
      <c r="O4" s="343"/>
      <c r="P4" s="343"/>
      <c r="Q4" s="343"/>
      <c r="R4" s="343"/>
      <c r="S4" s="343"/>
      <c r="T4" s="343"/>
      <c r="U4" s="343"/>
      <c r="V4" s="343"/>
      <c r="W4" s="343"/>
      <c r="X4" s="343"/>
      <c r="Y4" s="343"/>
      <c r="Z4" s="343"/>
      <c r="AA4" s="343"/>
    </row>
    <row r="5" spans="1:27" ht="38.25" customHeight="1" x14ac:dyDescent="0.25">
      <c r="A5" s="462"/>
      <c r="B5" s="343" t="s">
        <v>777</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row>
    <row r="6" spans="1:27" s="341" customFormat="1" ht="38.25" customHeight="1" x14ac:dyDescent="0.25">
      <c r="A6" s="462"/>
      <c r="B6" s="343" t="s">
        <v>778</v>
      </c>
      <c r="C6" s="343"/>
      <c r="D6" s="343"/>
      <c r="E6" s="343"/>
      <c r="F6" s="343"/>
      <c r="G6" s="343"/>
      <c r="H6" s="343"/>
      <c r="I6" s="343"/>
      <c r="J6" s="343"/>
      <c r="K6" s="343"/>
      <c r="L6" s="343"/>
      <c r="M6" s="343"/>
      <c r="N6" s="343"/>
      <c r="O6" s="343"/>
      <c r="P6" s="343"/>
      <c r="Q6" s="343"/>
      <c r="R6" s="343"/>
      <c r="S6" s="343"/>
      <c r="T6" s="343"/>
      <c r="U6" s="343"/>
      <c r="V6" s="343"/>
      <c r="W6" s="343"/>
      <c r="X6" s="343"/>
      <c r="Y6" s="343"/>
      <c r="Z6" s="343"/>
      <c r="AA6" s="343"/>
    </row>
    <row r="7" spans="1:27" s="341" customFormat="1" ht="38.25" customHeight="1" x14ac:dyDescent="0.25">
      <c r="A7" s="462"/>
      <c r="B7" s="343" t="s">
        <v>779</v>
      </c>
      <c r="C7" s="343"/>
      <c r="D7" s="343"/>
      <c r="E7" s="343"/>
      <c r="F7" s="343"/>
      <c r="G7" s="343"/>
      <c r="H7" s="343"/>
      <c r="I7" s="343"/>
      <c r="J7" s="343"/>
      <c r="K7" s="343"/>
      <c r="L7" s="343"/>
      <c r="M7" s="343"/>
      <c r="N7" s="343"/>
      <c r="O7" s="343"/>
      <c r="P7" s="343"/>
      <c r="Q7" s="343"/>
      <c r="R7" s="343"/>
      <c r="S7" s="343"/>
      <c r="T7" s="343"/>
      <c r="U7" s="343"/>
      <c r="V7" s="343"/>
      <c r="W7" s="343"/>
      <c r="X7" s="343"/>
      <c r="Y7" s="343"/>
      <c r="Z7" s="343"/>
      <c r="AA7" s="343"/>
    </row>
    <row r="8" spans="1:27" s="341" customFormat="1" ht="38.25" customHeight="1" x14ac:dyDescent="0.25">
      <c r="A8" s="462"/>
      <c r="B8" s="343" t="s">
        <v>780</v>
      </c>
      <c r="C8" s="343"/>
      <c r="D8" s="343"/>
      <c r="E8" s="343"/>
      <c r="F8" s="343"/>
      <c r="G8" s="343"/>
      <c r="H8" s="343"/>
      <c r="I8" s="343"/>
      <c r="J8" s="343"/>
      <c r="K8" s="343"/>
      <c r="L8" s="343"/>
      <c r="M8" s="343"/>
      <c r="N8" s="343"/>
      <c r="O8" s="343"/>
      <c r="P8" s="343"/>
      <c r="Q8" s="343"/>
      <c r="R8" s="343"/>
      <c r="S8" s="343"/>
      <c r="T8" s="343"/>
      <c r="U8" s="343"/>
      <c r="V8" s="343"/>
      <c r="W8" s="343"/>
      <c r="X8" s="343"/>
      <c r="Y8" s="343"/>
      <c r="Z8" s="343"/>
      <c r="AA8" s="343"/>
    </row>
    <row r="9" spans="1:27" s="341" customFormat="1" ht="38.25" customHeight="1" x14ac:dyDescent="0.25">
      <c r="A9" s="462"/>
      <c r="B9" s="343" t="s">
        <v>781</v>
      </c>
      <c r="C9" s="343"/>
      <c r="D9" s="343"/>
      <c r="E9" s="343"/>
      <c r="F9" s="343"/>
      <c r="G9" s="343"/>
      <c r="H9" s="343"/>
      <c r="I9" s="343"/>
      <c r="J9" s="343"/>
      <c r="K9" s="343"/>
      <c r="L9" s="343"/>
      <c r="M9" s="343"/>
      <c r="N9" s="343"/>
      <c r="O9" s="343"/>
      <c r="P9" s="343"/>
      <c r="Q9" s="343"/>
      <c r="R9" s="343"/>
      <c r="S9" s="343"/>
      <c r="T9" s="343"/>
      <c r="U9" s="343"/>
      <c r="V9" s="343"/>
      <c r="W9" s="343"/>
      <c r="X9" s="343"/>
      <c r="Y9" s="343"/>
      <c r="Z9" s="343"/>
      <c r="AA9" s="343"/>
    </row>
    <row r="10" spans="1:27" ht="38.25" customHeight="1" x14ac:dyDescent="0.25">
      <c r="A10" s="462"/>
      <c r="B10" s="343"/>
      <c r="C10" s="343"/>
      <c r="D10" s="343"/>
      <c r="E10" s="343"/>
      <c r="F10" s="343"/>
      <c r="G10" s="343"/>
      <c r="H10" s="343"/>
      <c r="I10" s="343"/>
      <c r="J10" s="343"/>
      <c r="K10" s="343"/>
      <c r="L10" s="343"/>
      <c r="M10" s="343"/>
      <c r="N10" s="343"/>
      <c r="O10" s="343"/>
      <c r="P10" s="343"/>
      <c r="Q10" s="343"/>
      <c r="R10" s="343"/>
      <c r="S10" s="343"/>
      <c r="T10" s="343"/>
      <c r="U10" s="343"/>
      <c r="V10" s="343"/>
      <c r="W10" s="343"/>
      <c r="X10" s="343"/>
      <c r="Y10" s="343"/>
      <c r="Z10" s="343"/>
      <c r="AA10" s="343"/>
    </row>
    <row r="11" spans="1:27" ht="15" customHeight="1" x14ac:dyDescent="0.25">
      <c r="A11" s="663"/>
      <c r="B11" s="463" t="s">
        <v>782</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row>
    <row r="12" spans="1:27" s="320" customFormat="1" ht="15" customHeight="1" x14ac:dyDescent="0.25">
      <c r="A12" s="462">
        <v>20000</v>
      </c>
      <c r="B12" s="463" t="s">
        <v>783</v>
      </c>
      <c r="C12" s="343"/>
      <c r="D12" s="343"/>
      <c r="E12" s="343"/>
      <c r="F12" s="343"/>
      <c r="G12" s="343"/>
      <c r="H12" s="343"/>
      <c r="I12" s="343"/>
      <c r="J12" s="343"/>
      <c r="K12" s="343"/>
      <c r="L12" s="343"/>
      <c r="M12" s="343"/>
      <c r="N12" s="343"/>
      <c r="O12" s="343"/>
      <c r="P12" s="343"/>
      <c r="Q12" s="343"/>
      <c r="R12" s="343"/>
      <c r="S12" s="343"/>
      <c r="T12" s="343"/>
      <c r="U12" s="343"/>
      <c r="V12" s="343"/>
      <c r="W12" s="343"/>
      <c r="X12" s="343"/>
      <c r="Y12" s="343"/>
      <c r="Z12" s="343"/>
      <c r="AA12" s="343"/>
    </row>
    <row r="13" spans="1:27" ht="12.75" customHeight="1" x14ac:dyDescent="0.25">
      <c r="A13" s="304">
        <f>IF(Worksheet!G250="x",1000,IF(Worksheet!G251="x",2000,IF(Worksheet!G252="x",3000,4000)))</f>
        <v>1000</v>
      </c>
      <c r="B13" s="663" t="s">
        <v>784</v>
      </c>
      <c r="C13" s="343"/>
      <c r="D13" s="343"/>
      <c r="E13" s="343"/>
      <c r="F13" s="343"/>
      <c r="G13" s="343"/>
      <c r="H13" s="343"/>
      <c r="I13" s="343"/>
      <c r="J13" s="343"/>
      <c r="K13" s="343"/>
      <c r="L13" s="343"/>
      <c r="M13" s="343"/>
      <c r="N13" s="343"/>
      <c r="O13" s="343"/>
      <c r="P13" s="343"/>
      <c r="Q13" s="343"/>
      <c r="R13" s="343"/>
      <c r="S13" s="343"/>
      <c r="T13" s="343"/>
      <c r="U13" s="343"/>
      <c r="V13" s="343"/>
      <c r="W13" s="343"/>
      <c r="X13" s="343"/>
      <c r="Y13" s="343"/>
      <c r="Z13" s="343"/>
      <c r="AA13" s="343"/>
    </row>
    <row r="14" spans="1:27" ht="12.75" customHeight="1" x14ac:dyDescent="0.25">
      <c r="A14" s="304">
        <f>IF(NOT(ISNUMBER(Worksheet!U47)),0,IF(Worksheet!U47=1,100,IF(Worksheet!U47&gt;1,200,"")))</f>
        <v>0</v>
      </c>
      <c r="B14" s="663" t="s">
        <v>785</v>
      </c>
      <c r="C14" s="343"/>
      <c r="D14" s="343"/>
      <c r="E14" s="343"/>
      <c r="F14" s="343"/>
      <c r="G14" s="343"/>
      <c r="H14" s="343"/>
      <c r="I14" s="343"/>
      <c r="J14" s="343"/>
      <c r="K14" s="343"/>
      <c r="L14" s="343"/>
      <c r="M14" s="343"/>
      <c r="N14" s="343"/>
      <c r="O14" s="343"/>
      <c r="P14" s="343"/>
      <c r="Q14" s="343"/>
      <c r="R14" s="343"/>
      <c r="S14" s="343"/>
      <c r="T14" s="343"/>
      <c r="U14" s="343"/>
      <c r="V14" s="343"/>
      <c r="W14" s="343"/>
      <c r="X14" s="343"/>
      <c r="Y14" s="343"/>
      <c r="Z14" s="343"/>
      <c r="AA14" s="343"/>
    </row>
    <row r="15" spans="1:27" ht="12.75" customHeight="1" x14ac:dyDescent="0.25">
      <c r="A15" s="832">
        <f>IF(AND(ISBLANK(Worksheet!J49),ISBLANK(Worksheet!M49)),30,IF(NOT(ISBLANK(Worksheet!J49)),20,10))</f>
        <v>30</v>
      </c>
      <c r="B15" s="663" t="s">
        <v>786</v>
      </c>
      <c r="C15" s="343"/>
      <c r="D15" s="343"/>
      <c r="E15" s="343"/>
      <c r="F15" s="343"/>
      <c r="G15" s="343"/>
      <c r="H15" s="343"/>
      <c r="I15" s="343"/>
      <c r="J15" s="343"/>
      <c r="K15" s="343"/>
      <c r="L15" s="343"/>
      <c r="M15" s="343"/>
      <c r="N15" s="343"/>
      <c r="O15" s="343"/>
      <c r="P15" s="343"/>
      <c r="Q15" s="343"/>
      <c r="R15" s="343"/>
      <c r="S15" s="343"/>
      <c r="T15" s="343"/>
      <c r="U15" s="343"/>
      <c r="V15" s="343"/>
      <c r="W15" s="343"/>
      <c r="X15" s="343"/>
      <c r="Y15" s="343"/>
      <c r="Z15" s="343"/>
      <c r="AA15" s="343"/>
    </row>
    <row r="16" spans="1:27" ht="12.75" customHeight="1" x14ac:dyDescent="0.25">
      <c r="A16" s="304">
        <f>SUM(A12:A15)</f>
        <v>21030</v>
      </c>
      <c r="B16" s="663" t="s">
        <v>787</v>
      </c>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row>
    <row r="17" spans="1:27" ht="12.75" customHeight="1" x14ac:dyDescent="0.25">
      <c r="A17" s="304">
        <f>A16+1</f>
        <v>21031</v>
      </c>
      <c r="B17" s="663" t="s">
        <v>788</v>
      </c>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43"/>
    </row>
    <row r="18" spans="1:27" ht="12.75" customHeight="1" x14ac:dyDescent="0.25">
      <c r="A18" s="304">
        <f>A16+2</f>
        <v>21032</v>
      </c>
      <c r="B18" s="663" t="s">
        <v>789</v>
      </c>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row>
    <row r="19" spans="1:27" ht="12.75" customHeight="1" x14ac:dyDescent="0.25">
      <c r="A19" s="304">
        <f>A16+3</f>
        <v>21033</v>
      </c>
      <c r="B19" s="663" t="s">
        <v>790</v>
      </c>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43"/>
    </row>
    <row r="20" spans="1:27" s="300" customFormat="1" ht="12.75" customHeight="1" x14ac:dyDescent="0.25">
      <c r="A20" s="304">
        <f>A16+4</f>
        <v>21034</v>
      </c>
      <c r="B20" s="464" t="s">
        <v>791</v>
      </c>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row>
    <row r="21" spans="1:27" ht="12.75" customHeight="1" x14ac:dyDescent="0.25">
      <c r="A21" s="305"/>
      <c r="B21" s="464"/>
      <c r="C21" s="34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row>
    <row r="22" spans="1:27" ht="15" customHeight="1" x14ac:dyDescent="0.25">
      <c r="A22" s="465">
        <v>11031</v>
      </c>
      <c r="B22" s="833" t="s">
        <v>792</v>
      </c>
      <c r="C22" s="34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row>
    <row r="23" spans="1:27" ht="12.75" customHeight="1" x14ac:dyDescent="0.25">
      <c r="A23" s="466">
        <v>11032</v>
      </c>
      <c r="B23" s="303" t="s">
        <v>793</v>
      </c>
      <c r="C23" s="34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row>
    <row r="24" spans="1:27" ht="12.75" customHeight="1" x14ac:dyDescent="0.25">
      <c r="A24" s="466">
        <v>11033</v>
      </c>
      <c r="B24" s="303" t="s">
        <v>794</v>
      </c>
      <c r="C24" s="34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row>
    <row r="25" spans="1:27" s="300" customFormat="1" ht="12.75" customHeight="1" x14ac:dyDescent="0.25">
      <c r="A25" s="467">
        <v>11034</v>
      </c>
      <c r="B25" s="302"/>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row>
    <row r="26" spans="1:27" ht="12.75" customHeight="1" x14ac:dyDescent="0.25">
      <c r="A26" s="466">
        <v>11131</v>
      </c>
      <c r="B26" s="303" t="s">
        <v>792</v>
      </c>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row>
    <row r="27" spans="1:27" ht="12.75" customHeight="1" x14ac:dyDescent="0.25">
      <c r="A27" s="466">
        <v>11132</v>
      </c>
      <c r="B27" s="303" t="s">
        <v>795</v>
      </c>
      <c r="C27" s="34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row>
    <row r="28" spans="1:27" ht="12.75" customHeight="1" x14ac:dyDescent="0.25">
      <c r="A28" s="466">
        <v>11133</v>
      </c>
      <c r="B28" s="303" t="s">
        <v>796</v>
      </c>
      <c r="C28" s="34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row>
    <row r="29" spans="1:27" s="300" customFormat="1" ht="12.75" customHeight="1" x14ac:dyDescent="0.25">
      <c r="A29" s="467">
        <v>11134</v>
      </c>
      <c r="B29" s="302"/>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row>
    <row r="30" spans="1:27" ht="12.75" customHeight="1" x14ac:dyDescent="0.25">
      <c r="A30" s="466">
        <v>11231</v>
      </c>
      <c r="B30" s="303" t="s">
        <v>792</v>
      </c>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row>
    <row r="31" spans="1:27" ht="12.75" customHeight="1" x14ac:dyDescent="0.25">
      <c r="A31" s="466">
        <v>11232</v>
      </c>
      <c r="B31" s="303" t="s">
        <v>797</v>
      </c>
      <c r="C31" s="343"/>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row>
    <row r="32" spans="1:27" ht="12.75" customHeight="1" x14ac:dyDescent="0.25">
      <c r="A32" s="466">
        <v>11233</v>
      </c>
      <c r="B32" s="303" t="s">
        <v>798</v>
      </c>
      <c r="C32" s="343"/>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row>
    <row r="33" spans="1:27" s="300" customFormat="1" ht="12.75" customHeight="1" x14ac:dyDescent="0.25">
      <c r="A33" s="466">
        <v>11234</v>
      </c>
      <c r="B33" s="303"/>
      <c r="C33" s="343"/>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row>
    <row r="34" spans="1:27" ht="12.75" customHeight="1" x14ac:dyDescent="0.25">
      <c r="A34" s="465">
        <v>11111</v>
      </c>
      <c r="B34" s="833" t="s">
        <v>799</v>
      </c>
      <c r="C34" s="343"/>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row>
    <row r="35" spans="1:27" ht="38.25" customHeight="1" x14ac:dyDescent="0.25">
      <c r="A35" s="466">
        <v>11112</v>
      </c>
      <c r="B35" s="303" t="s">
        <v>800</v>
      </c>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row>
    <row r="36" spans="1:27" ht="12.75" customHeight="1" x14ac:dyDescent="0.25">
      <c r="A36" s="466">
        <v>11113</v>
      </c>
      <c r="B36" s="303" t="s">
        <v>801</v>
      </c>
      <c r="C36" s="343"/>
      <c r="D36" s="343"/>
      <c r="E36" s="343"/>
      <c r="F36" s="343"/>
      <c r="G36" s="343"/>
      <c r="H36" s="343"/>
      <c r="I36" s="343"/>
      <c r="J36" s="343"/>
      <c r="K36" s="343"/>
      <c r="L36" s="343"/>
      <c r="M36" s="343"/>
      <c r="N36" s="343"/>
      <c r="O36" s="343"/>
      <c r="P36" s="343"/>
      <c r="Q36" s="343"/>
      <c r="R36" s="343"/>
      <c r="S36" s="343"/>
      <c r="T36" s="343"/>
      <c r="U36" s="343"/>
      <c r="V36" s="343"/>
      <c r="W36" s="343"/>
      <c r="X36" s="343"/>
      <c r="Y36" s="343"/>
      <c r="Z36" s="343"/>
      <c r="AA36" s="343"/>
    </row>
    <row r="37" spans="1:27" s="300" customFormat="1" ht="12.75" customHeight="1" x14ac:dyDescent="0.25">
      <c r="A37" s="467">
        <v>11114</v>
      </c>
      <c r="B37" s="302" t="s">
        <v>802</v>
      </c>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row>
    <row r="38" spans="1:27" ht="15" customHeight="1" x14ac:dyDescent="0.25">
      <c r="A38" s="466">
        <v>11211</v>
      </c>
      <c r="B38" s="303" t="s">
        <v>799</v>
      </c>
      <c r="C38" s="343"/>
      <c r="D38" s="343"/>
      <c r="E38" s="343"/>
      <c r="F38" s="343"/>
      <c r="G38" s="343"/>
      <c r="H38" s="343"/>
      <c r="I38" s="343"/>
      <c r="J38" s="343"/>
      <c r="K38" s="343"/>
      <c r="L38" s="343"/>
      <c r="M38" s="343"/>
      <c r="N38" s="343"/>
      <c r="O38" s="343"/>
      <c r="P38" s="343"/>
      <c r="Q38" s="343"/>
      <c r="R38" s="343"/>
      <c r="S38" s="343"/>
      <c r="T38" s="343"/>
      <c r="U38" s="343"/>
      <c r="V38" s="343"/>
      <c r="W38" s="343"/>
      <c r="X38" s="343"/>
      <c r="Y38" s="343"/>
      <c r="Z38" s="343"/>
      <c r="AA38" s="343"/>
    </row>
    <row r="39" spans="1:27" ht="38.25" customHeight="1" x14ac:dyDescent="0.25">
      <c r="A39" s="466">
        <v>11212</v>
      </c>
      <c r="B39" s="303" t="s">
        <v>803</v>
      </c>
      <c r="C39" s="343"/>
      <c r="D39" s="343"/>
      <c r="E39" s="343"/>
      <c r="F39" s="343"/>
      <c r="G39" s="343"/>
      <c r="H39" s="343"/>
      <c r="I39" s="343"/>
      <c r="J39" s="343"/>
      <c r="K39" s="343"/>
      <c r="L39" s="343"/>
      <c r="M39" s="343"/>
      <c r="N39" s="343"/>
      <c r="O39" s="343"/>
      <c r="P39" s="343"/>
      <c r="Q39" s="343"/>
      <c r="R39" s="343"/>
      <c r="S39" s="343"/>
      <c r="T39" s="343"/>
      <c r="U39" s="343"/>
      <c r="V39" s="343"/>
      <c r="W39" s="343"/>
      <c r="X39" s="343"/>
      <c r="Y39" s="343"/>
      <c r="Z39" s="343"/>
      <c r="AA39" s="343"/>
    </row>
    <row r="40" spans="1:27" ht="12.75" customHeight="1" x14ac:dyDescent="0.25">
      <c r="A40" s="466">
        <v>11213</v>
      </c>
      <c r="B40" s="303" t="s">
        <v>804</v>
      </c>
      <c r="C40" s="343"/>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row>
    <row r="41" spans="1:27" s="300" customFormat="1" ht="12.75" customHeight="1" x14ac:dyDescent="0.25">
      <c r="A41" s="467">
        <v>11214</v>
      </c>
      <c r="B41" s="302" t="s">
        <v>802</v>
      </c>
      <c r="C41" s="343"/>
      <c r="D41" s="343"/>
      <c r="E41" s="343"/>
      <c r="F41" s="343"/>
      <c r="G41" s="343"/>
      <c r="H41" s="343"/>
      <c r="I41" s="343"/>
      <c r="J41" s="343"/>
      <c r="K41" s="343"/>
      <c r="L41" s="343"/>
      <c r="M41" s="343"/>
      <c r="N41" s="343"/>
      <c r="O41" s="343"/>
      <c r="P41" s="343"/>
      <c r="Q41" s="343"/>
      <c r="R41" s="343"/>
      <c r="S41" s="343"/>
      <c r="T41" s="343"/>
      <c r="U41" s="343"/>
      <c r="V41" s="343"/>
      <c r="W41" s="343"/>
      <c r="X41" s="343"/>
      <c r="Y41" s="343"/>
      <c r="Z41" s="343"/>
      <c r="AA41" s="343"/>
    </row>
    <row r="42" spans="1:27" ht="15" customHeight="1" x14ac:dyDescent="0.25">
      <c r="A42" s="466">
        <v>11121</v>
      </c>
      <c r="B42" s="303" t="s">
        <v>805</v>
      </c>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row>
    <row r="43" spans="1:27" ht="41.25" customHeight="1" x14ac:dyDescent="0.25">
      <c r="A43" s="466">
        <v>11122</v>
      </c>
      <c r="B43" s="303" t="s">
        <v>806</v>
      </c>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row>
    <row r="44" spans="1:27" ht="12.75" customHeight="1" x14ac:dyDescent="0.25">
      <c r="A44" s="466">
        <v>11123</v>
      </c>
      <c r="B44" s="303" t="s">
        <v>807</v>
      </c>
      <c r="C44" s="343"/>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row>
    <row r="45" spans="1:27" s="300" customFormat="1" ht="12.75" customHeight="1" x14ac:dyDescent="0.25">
      <c r="A45" s="467">
        <v>11124</v>
      </c>
      <c r="B45" s="302" t="s">
        <v>802</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row>
    <row r="46" spans="1:27" ht="15" customHeight="1" x14ac:dyDescent="0.25">
      <c r="A46" s="466">
        <v>11221</v>
      </c>
      <c r="B46" s="303" t="s">
        <v>799</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row>
    <row r="47" spans="1:27" ht="39.75" customHeight="1" x14ac:dyDescent="0.25">
      <c r="A47" s="466">
        <v>11222</v>
      </c>
      <c r="B47" s="303" t="s">
        <v>808</v>
      </c>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row>
    <row r="48" spans="1:27" ht="12.75" customHeight="1" x14ac:dyDescent="0.25">
      <c r="A48" s="466">
        <v>11223</v>
      </c>
      <c r="B48" s="303" t="s">
        <v>809</v>
      </c>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row>
    <row r="49" spans="1:27" s="300" customFormat="1" ht="12.75" customHeight="1" x14ac:dyDescent="0.25">
      <c r="A49" s="467">
        <v>11224</v>
      </c>
      <c r="B49" s="302" t="s">
        <v>802</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row>
    <row r="50" spans="1:27" ht="15" customHeight="1" x14ac:dyDescent="0.25">
      <c r="A50" s="466">
        <v>12111</v>
      </c>
      <c r="B50" s="303" t="s">
        <v>810</v>
      </c>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row>
    <row r="51" spans="1:27" ht="15" customHeight="1" x14ac:dyDescent="0.25">
      <c r="A51" s="466">
        <v>12112</v>
      </c>
      <c r="B51" s="303" t="s">
        <v>811</v>
      </c>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row>
    <row r="52" spans="1:27" ht="15" customHeight="1" x14ac:dyDescent="0.25">
      <c r="A52" s="466">
        <v>12113</v>
      </c>
      <c r="B52" s="303" t="s">
        <v>812</v>
      </c>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row>
    <row r="53" spans="1:27" s="300" customFormat="1" ht="15" customHeight="1" x14ac:dyDescent="0.25">
      <c r="A53" s="467">
        <v>12114</v>
      </c>
      <c r="B53" s="302"/>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row>
    <row r="54" spans="1:27" ht="15" customHeight="1" x14ac:dyDescent="0.25">
      <c r="A54" s="466">
        <v>12121</v>
      </c>
      <c r="B54" s="303" t="s">
        <v>810</v>
      </c>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43"/>
      <c r="AA54" s="343"/>
    </row>
    <row r="55" spans="1:27" ht="15" customHeight="1" x14ac:dyDescent="0.25">
      <c r="A55" s="466">
        <v>12122</v>
      </c>
      <c r="B55" s="303" t="s">
        <v>811</v>
      </c>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row>
    <row r="56" spans="1:27" ht="15" customHeight="1" x14ac:dyDescent="0.25">
      <c r="A56" s="466">
        <v>12123</v>
      </c>
      <c r="B56" s="303" t="s">
        <v>812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row>
    <row r="57" spans="1:27" s="300" customFormat="1" ht="15" customHeight="1" x14ac:dyDescent="0.25">
      <c r="A57" s="467">
        <v>12124</v>
      </c>
      <c r="B57" s="302"/>
      <c r="C57" s="343"/>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row>
    <row r="58" spans="1:27" ht="15" customHeight="1" x14ac:dyDescent="0.25">
      <c r="A58" s="466">
        <v>12211</v>
      </c>
      <c r="B58" s="303" t="s">
        <v>813</v>
      </c>
      <c r="C58" s="343"/>
      <c r="D58" s="343"/>
      <c r="E58" s="343"/>
      <c r="F58" s="343"/>
      <c r="G58" s="343"/>
      <c r="H58" s="343"/>
      <c r="I58" s="343"/>
      <c r="J58" s="343"/>
      <c r="K58" s="343"/>
      <c r="L58" s="343"/>
      <c r="M58" s="343"/>
      <c r="N58" s="343"/>
      <c r="O58" s="343"/>
      <c r="P58" s="343"/>
      <c r="Q58" s="343"/>
      <c r="R58" s="343"/>
      <c r="S58" s="343"/>
      <c r="T58" s="343"/>
      <c r="U58" s="343"/>
      <c r="V58" s="343"/>
      <c r="W58" s="343"/>
      <c r="X58" s="343"/>
      <c r="Y58" s="343"/>
      <c r="Z58" s="343"/>
      <c r="AA58" s="343"/>
    </row>
    <row r="59" spans="1:27" ht="15" customHeight="1" x14ac:dyDescent="0.25">
      <c r="A59" s="466">
        <v>12212</v>
      </c>
      <c r="B59" s="303" t="s">
        <v>814</v>
      </c>
      <c r="C59" s="343"/>
      <c r="D59" s="343"/>
      <c r="E59" s="343"/>
      <c r="F59" s="343"/>
      <c r="G59" s="343"/>
      <c r="H59" s="343"/>
      <c r="I59" s="343"/>
      <c r="J59" s="343"/>
      <c r="K59" s="343"/>
      <c r="L59" s="343"/>
      <c r="M59" s="343"/>
      <c r="N59" s="343"/>
      <c r="O59" s="343"/>
      <c r="P59" s="343"/>
      <c r="Q59" s="343"/>
      <c r="R59" s="343"/>
      <c r="S59" s="343"/>
      <c r="T59" s="343"/>
      <c r="U59" s="343"/>
      <c r="V59" s="343"/>
      <c r="W59" s="343"/>
      <c r="X59" s="343"/>
      <c r="Y59" s="343"/>
      <c r="Z59" s="343"/>
      <c r="AA59" s="343"/>
    </row>
    <row r="60" spans="1:27" ht="15" customHeight="1" x14ac:dyDescent="0.25">
      <c r="A60" s="466">
        <v>12213</v>
      </c>
      <c r="B60" s="303" t="s">
        <v>815</v>
      </c>
      <c r="C60" s="343"/>
      <c r="D60" s="343"/>
      <c r="E60" s="343"/>
      <c r="F60" s="343"/>
      <c r="G60" s="343"/>
      <c r="H60" s="343"/>
      <c r="I60" s="343"/>
      <c r="J60" s="343"/>
      <c r="K60" s="343"/>
      <c r="L60" s="343"/>
      <c r="M60" s="343"/>
      <c r="N60" s="343"/>
      <c r="O60" s="343"/>
      <c r="P60" s="343"/>
      <c r="Q60" s="343"/>
      <c r="R60" s="343"/>
      <c r="S60" s="343"/>
      <c r="T60" s="343"/>
      <c r="U60" s="343"/>
      <c r="V60" s="343"/>
      <c r="W60" s="343"/>
      <c r="X60" s="343"/>
      <c r="Y60" s="343"/>
      <c r="Z60" s="343"/>
      <c r="AA60" s="343"/>
    </row>
    <row r="61" spans="1:27" s="300" customFormat="1" ht="15" customHeight="1" x14ac:dyDescent="0.25">
      <c r="A61" s="467">
        <v>12214</v>
      </c>
      <c r="B61" s="302"/>
      <c r="C61" s="343"/>
      <c r="D61" s="343"/>
      <c r="E61" s="343"/>
      <c r="F61" s="343"/>
      <c r="G61" s="343"/>
      <c r="H61" s="343"/>
      <c r="I61" s="343"/>
      <c r="J61" s="343"/>
      <c r="K61" s="343"/>
      <c r="L61" s="343"/>
      <c r="M61" s="343"/>
      <c r="N61" s="343"/>
      <c r="O61" s="343"/>
      <c r="P61" s="343"/>
      <c r="Q61" s="343"/>
      <c r="R61" s="343"/>
      <c r="S61" s="343"/>
      <c r="T61" s="343"/>
      <c r="U61" s="343"/>
      <c r="V61" s="343"/>
      <c r="W61" s="343"/>
      <c r="X61" s="343"/>
      <c r="Y61" s="343"/>
      <c r="Z61" s="343"/>
      <c r="AA61" s="343"/>
    </row>
    <row r="62" spans="1:27" ht="15" customHeight="1" x14ac:dyDescent="0.25">
      <c r="A62" s="466">
        <v>12221</v>
      </c>
      <c r="B62" s="303" t="s">
        <v>816</v>
      </c>
      <c r="C62" s="343"/>
      <c r="D62" s="343"/>
      <c r="E62" s="343"/>
      <c r="F62" s="343"/>
      <c r="G62" s="343"/>
      <c r="H62" s="343"/>
      <c r="I62" s="343"/>
      <c r="J62" s="343"/>
      <c r="K62" s="343"/>
      <c r="L62" s="343"/>
      <c r="M62" s="343"/>
      <c r="N62" s="343"/>
      <c r="O62" s="343"/>
      <c r="P62" s="343"/>
      <c r="Q62" s="343"/>
      <c r="R62" s="343"/>
      <c r="S62" s="343"/>
      <c r="T62" s="343"/>
      <c r="U62" s="343"/>
      <c r="V62" s="343"/>
      <c r="W62" s="343"/>
      <c r="X62" s="343"/>
      <c r="Y62" s="343"/>
      <c r="Z62" s="343"/>
      <c r="AA62" s="343"/>
    </row>
    <row r="63" spans="1:27" ht="15" customHeight="1" x14ac:dyDescent="0.25">
      <c r="A63" s="466">
        <v>12222</v>
      </c>
      <c r="B63" s="303" t="s">
        <v>817</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row>
    <row r="64" spans="1:27" ht="15" customHeight="1" x14ac:dyDescent="0.25">
      <c r="A64" s="466">
        <v>12223</v>
      </c>
      <c r="B64" s="303" t="s">
        <v>815</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row>
    <row r="65" spans="1:27" s="300" customFormat="1" ht="15" customHeight="1" x14ac:dyDescent="0.25">
      <c r="A65" s="467">
        <v>12224</v>
      </c>
      <c r="B65" s="302"/>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row>
    <row r="66" spans="1:27" s="300" customFormat="1" ht="15" customHeight="1" x14ac:dyDescent="0.25">
      <c r="A66" s="466">
        <v>12231</v>
      </c>
      <c r="B66" s="303" t="s">
        <v>816</v>
      </c>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row>
    <row r="67" spans="1:27" s="300" customFormat="1" ht="15" customHeight="1" x14ac:dyDescent="0.25">
      <c r="A67" s="466">
        <v>12232</v>
      </c>
      <c r="B67" s="303" t="s">
        <v>817</v>
      </c>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row>
    <row r="68" spans="1:27" s="300" customFormat="1" ht="15" customHeight="1" x14ac:dyDescent="0.25">
      <c r="A68" s="466">
        <v>12233</v>
      </c>
      <c r="B68" s="303" t="s">
        <v>815</v>
      </c>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row>
    <row r="69" spans="1:27" s="300" customFormat="1" ht="15" customHeight="1" x14ac:dyDescent="0.25">
      <c r="A69" s="467">
        <v>12234</v>
      </c>
      <c r="B69" s="302"/>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row>
    <row r="70" spans="1:27" ht="15" customHeight="1" x14ac:dyDescent="0.25">
      <c r="A70" s="466">
        <v>13111</v>
      </c>
      <c r="B70" s="303" t="s">
        <v>818</v>
      </c>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row>
    <row r="71" spans="1:27" ht="15" customHeight="1" x14ac:dyDescent="0.25">
      <c r="A71" s="466">
        <v>13112</v>
      </c>
      <c r="B71" s="303" t="s">
        <v>819</v>
      </c>
      <c r="C71" s="343"/>
      <c r="D71" s="343"/>
      <c r="E71" s="343"/>
      <c r="F71" s="343"/>
      <c r="G71" s="343"/>
      <c r="H71" s="343"/>
      <c r="I71" s="343"/>
      <c r="J71" s="343"/>
      <c r="K71" s="343"/>
      <c r="L71" s="343"/>
      <c r="M71" s="343"/>
      <c r="N71" s="343"/>
      <c r="O71" s="343"/>
      <c r="P71" s="343"/>
      <c r="Q71" s="343"/>
      <c r="R71" s="343"/>
      <c r="S71" s="343"/>
      <c r="T71" s="343"/>
      <c r="U71" s="343"/>
      <c r="V71" s="343"/>
      <c r="W71" s="343"/>
      <c r="X71" s="343"/>
      <c r="Y71" s="343"/>
      <c r="Z71" s="343"/>
      <c r="AA71" s="343"/>
    </row>
    <row r="72" spans="1:27" ht="15" customHeight="1" x14ac:dyDescent="0.25">
      <c r="A72" s="466">
        <v>13113</v>
      </c>
      <c r="B72" s="303" t="s">
        <v>820</v>
      </c>
      <c r="C72" s="343"/>
      <c r="D72" s="343"/>
      <c r="E72" s="343"/>
      <c r="F72" s="343"/>
      <c r="G72" s="343"/>
      <c r="H72" s="343"/>
      <c r="I72" s="343"/>
      <c r="J72" s="343"/>
      <c r="K72" s="343"/>
      <c r="L72" s="343"/>
      <c r="M72" s="343"/>
      <c r="N72" s="343"/>
      <c r="O72" s="343"/>
      <c r="P72" s="343"/>
      <c r="Q72" s="343"/>
      <c r="R72" s="343"/>
      <c r="S72" s="343"/>
      <c r="T72" s="343"/>
      <c r="U72" s="343"/>
      <c r="V72" s="343"/>
      <c r="W72" s="343"/>
      <c r="X72" s="343"/>
      <c r="Y72" s="343"/>
      <c r="Z72" s="343"/>
      <c r="AA72" s="343"/>
    </row>
    <row r="73" spans="1:27" s="300" customFormat="1" ht="15" customHeight="1" x14ac:dyDescent="0.25">
      <c r="A73" s="467">
        <v>13114</v>
      </c>
      <c r="B73" s="302" t="s">
        <v>821</v>
      </c>
      <c r="C73" s="343"/>
      <c r="D73" s="343"/>
      <c r="E73" s="343"/>
      <c r="F73" s="343"/>
      <c r="G73" s="343"/>
      <c r="H73" s="343"/>
      <c r="I73" s="343"/>
      <c r="J73" s="343"/>
      <c r="K73" s="343"/>
      <c r="L73" s="343"/>
      <c r="M73" s="343"/>
      <c r="N73" s="343"/>
      <c r="O73" s="343"/>
      <c r="P73" s="343"/>
      <c r="Q73" s="343"/>
      <c r="R73" s="343"/>
      <c r="S73" s="343"/>
      <c r="T73" s="343"/>
      <c r="U73" s="343"/>
      <c r="V73" s="343"/>
      <c r="W73" s="343"/>
      <c r="X73" s="343"/>
      <c r="Y73" s="343"/>
      <c r="Z73" s="343"/>
      <c r="AA73" s="343"/>
    </row>
    <row r="74" spans="1:27" ht="15" customHeight="1" x14ac:dyDescent="0.25">
      <c r="A74" s="466">
        <v>13211</v>
      </c>
      <c r="B74" s="303" t="s">
        <v>822</v>
      </c>
      <c r="C74" s="343"/>
      <c r="D74" s="343"/>
      <c r="E74" s="343"/>
      <c r="F74" s="343"/>
      <c r="G74" s="343"/>
      <c r="H74" s="343"/>
      <c r="I74" s="343"/>
      <c r="J74" s="343"/>
      <c r="K74" s="343"/>
      <c r="L74" s="343"/>
      <c r="M74" s="343"/>
      <c r="N74" s="343"/>
      <c r="O74" s="343"/>
      <c r="P74" s="343"/>
      <c r="Q74" s="343"/>
      <c r="R74" s="343"/>
      <c r="S74" s="343"/>
      <c r="T74" s="343"/>
      <c r="U74" s="343"/>
      <c r="V74" s="343"/>
      <c r="W74" s="343"/>
      <c r="X74" s="343"/>
      <c r="Y74" s="343"/>
      <c r="Z74" s="343"/>
      <c r="AA74" s="343"/>
    </row>
    <row r="75" spans="1:27" ht="15" customHeight="1" x14ac:dyDescent="0.25">
      <c r="A75" s="466">
        <v>13212</v>
      </c>
      <c r="B75" s="303" t="s">
        <v>819</v>
      </c>
      <c r="C75" s="343"/>
      <c r="D75" s="343"/>
      <c r="E75" s="343"/>
      <c r="F75" s="343"/>
      <c r="G75" s="343"/>
      <c r="H75" s="343"/>
      <c r="I75" s="343"/>
      <c r="J75" s="343"/>
      <c r="K75" s="343"/>
      <c r="L75" s="343"/>
      <c r="M75" s="343"/>
      <c r="N75" s="343"/>
      <c r="O75" s="343"/>
      <c r="P75" s="343"/>
      <c r="Q75" s="343"/>
      <c r="R75" s="343"/>
      <c r="S75" s="343"/>
      <c r="T75" s="343"/>
      <c r="U75" s="343"/>
      <c r="V75" s="343"/>
      <c r="W75" s="343"/>
      <c r="X75" s="343"/>
      <c r="Y75" s="343"/>
      <c r="Z75" s="343"/>
      <c r="AA75" s="343"/>
    </row>
    <row r="76" spans="1:27" ht="15" customHeight="1" x14ac:dyDescent="0.25">
      <c r="A76" s="466">
        <v>13213</v>
      </c>
      <c r="B76" s="303" t="s">
        <v>823</v>
      </c>
      <c r="C76" s="343"/>
      <c r="D76" s="343"/>
      <c r="E76" s="343"/>
      <c r="F76" s="343"/>
      <c r="G76" s="343"/>
      <c r="H76" s="343"/>
      <c r="I76" s="343"/>
      <c r="J76" s="343"/>
      <c r="K76" s="343"/>
      <c r="L76" s="343"/>
      <c r="M76" s="343"/>
      <c r="N76" s="343"/>
      <c r="O76" s="343"/>
      <c r="P76" s="343"/>
      <c r="Q76" s="343"/>
      <c r="R76" s="343"/>
      <c r="S76" s="343"/>
      <c r="T76" s="343"/>
      <c r="U76" s="343"/>
      <c r="V76" s="343"/>
      <c r="W76" s="343"/>
      <c r="X76" s="343"/>
      <c r="Y76" s="343"/>
      <c r="Z76" s="343"/>
      <c r="AA76" s="343"/>
    </row>
    <row r="77" spans="1:27" s="300" customFormat="1" ht="15" customHeight="1" x14ac:dyDescent="0.25">
      <c r="A77" s="467">
        <v>13214</v>
      </c>
      <c r="B77" s="302" t="s">
        <v>821</v>
      </c>
      <c r="C77" s="343"/>
      <c r="D77" s="343"/>
      <c r="E77" s="343"/>
      <c r="F77" s="343"/>
      <c r="G77" s="343"/>
      <c r="H77" s="343"/>
      <c r="I77" s="343"/>
      <c r="J77" s="343"/>
      <c r="K77" s="343"/>
      <c r="L77" s="343"/>
      <c r="M77" s="343"/>
      <c r="N77" s="343"/>
      <c r="O77" s="343"/>
      <c r="P77" s="343"/>
      <c r="Q77" s="343"/>
      <c r="R77" s="343"/>
      <c r="S77" s="343"/>
      <c r="T77" s="343"/>
      <c r="U77" s="343"/>
      <c r="V77" s="343"/>
      <c r="W77" s="343"/>
      <c r="X77" s="343"/>
      <c r="Y77" s="343"/>
      <c r="Z77" s="343"/>
      <c r="AA77" s="343"/>
    </row>
    <row r="78" spans="1:27" ht="15" customHeight="1" x14ac:dyDescent="0.25">
      <c r="A78" s="466">
        <v>13121</v>
      </c>
      <c r="B78" s="303" t="s">
        <v>824</v>
      </c>
      <c r="C78" s="343"/>
      <c r="D78" s="343"/>
      <c r="E78" s="343"/>
      <c r="F78" s="343"/>
      <c r="G78" s="343"/>
      <c r="H78" s="343"/>
      <c r="I78" s="343"/>
      <c r="J78" s="343"/>
      <c r="K78" s="343"/>
      <c r="L78" s="343"/>
      <c r="M78" s="343"/>
      <c r="N78" s="343"/>
      <c r="O78" s="343"/>
      <c r="P78" s="343"/>
      <c r="Q78" s="343"/>
      <c r="R78" s="343"/>
      <c r="S78" s="343"/>
      <c r="T78" s="343"/>
      <c r="U78" s="343"/>
      <c r="V78" s="343"/>
      <c r="W78" s="343"/>
      <c r="X78" s="343"/>
      <c r="Y78" s="343"/>
      <c r="Z78" s="343"/>
      <c r="AA78" s="343"/>
    </row>
    <row r="79" spans="1:27" ht="15" customHeight="1" x14ac:dyDescent="0.25">
      <c r="A79" s="466">
        <v>13122</v>
      </c>
      <c r="B79" s="303" t="s">
        <v>825</v>
      </c>
      <c r="C79" s="343"/>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row>
    <row r="80" spans="1:27" ht="15" customHeight="1" x14ac:dyDescent="0.25">
      <c r="A80" s="466">
        <v>13123</v>
      </c>
      <c r="B80" s="303" t="s">
        <v>826</v>
      </c>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row>
    <row r="81" spans="1:27" s="300" customFormat="1" ht="15" customHeight="1" x14ac:dyDescent="0.25">
      <c r="A81" s="467">
        <v>13124</v>
      </c>
      <c r="B81" s="302" t="s">
        <v>821</v>
      </c>
      <c r="C81" s="343"/>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row>
    <row r="82" spans="1:27" ht="15" customHeight="1" x14ac:dyDescent="0.25">
      <c r="A82" s="466">
        <v>13221</v>
      </c>
      <c r="B82" s="303" t="s">
        <v>822</v>
      </c>
      <c r="C82" s="343"/>
      <c r="D82" s="343"/>
      <c r="E82" s="343"/>
      <c r="F82" s="343"/>
      <c r="G82" s="343"/>
      <c r="H82" s="343"/>
      <c r="I82" s="343"/>
      <c r="J82" s="343"/>
      <c r="K82" s="343"/>
      <c r="L82" s="343"/>
      <c r="M82" s="343"/>
      <c r="N82" s="343"/>
      <c r="O82" s="343"/>
      <c r="P82" s="343"/>
      <c r="Q82" s="343"/>
      <c r="R82" s="343"/>
      <c r="S82" s="343"/>
      <c r="T82" s="343"/>
      <c r="U82" s="343"/>
      <c r="V82" s="343"/>
      <c r="W82" s="343"/>
      <c r="X82" s="343"/>
      <c r="Y82" s="343"/>
      <c r="Z82" s="343"/>
      <c r="AA82" s="343"/>
    </row>
    <row r="83" spans="1:27" ht="15" customHeight="1" x14ac:dyDescent="0.25">
      <c r="A83" s="466">
        <v>13222</v>
      </c>
      <c r="B83" s="303" t="s">
        <v>827</v>
      </c>
      <c r="C83" s="343"/>
      <c r="D83" s="343"/>
      <c r="E83" s="343"/>
      <c r="F83" s="343"/>
      <c r="G83" s="343"/>
      <c r="H83" s="343"/>
      <c r="I83" s="343"/>
      <c r="J83" s="343"/>
      <c r="K83" s="343"/>
      <c r="L83" s="343"/>
      <c r="M83" s="343"/>
      <c r="N83" s="343"/>
      <c r="O83" s="343"/>
      <c r="P83" s="343"/>
      <c r="Q83" s="343"/>
      <c r="R83" s="343"/>
      <c r="S83" s="343"/>
      <c r="T83" s="343"/>
      <c r="U83" s="343"/>
      <c r="V83" s="343"/>
      <c r="W83" s="343"/>
      <c r="X83" s="343"/>
      <c r="Y83" s="343"/>
      <c r="Z83" s="343"/>
      <c r="AA83" s="343"/>
    </row>
    <row r="84" spans="1:27" ht="15" customHeight="1" x14ac:dyDescent="0.25">
      <c r="A84" s="466">
        <v>13223</v>
      </c>
      <c r="B84" s="303" t="s">
        <v>828</v>
      </c>
      <c r="C84" s="343"/>
      <c r="D84" s="343"/>
      <c r="E84" s="343"/>
      <c r="F84" s="343"/>
      <c r="G84" s="343"/>
      <c r="H84" s="343"/>
      <c r="I84" s="343"/>
      <c r="J84" s="343"/>
      <c r="K84" s="343"/>
      <c r="L84" s="343"/>
      <c r="M84" s="343"/>
      <c r="N84" s="343"/>
      <c r="O84" s="343"/>
      <c r="P84" s="343"/>
      <c r="Q84" s="343"/>
      <c r="R84" s="343"/>
      <c r="S84" s="343"/>
      <c r="T84" s="343"/>
      <c r="U84" s="343"/>
      <c r="V84" s="343"/>
      <c r="W84" s="343"/>
      <c r="X84" s="343"/>
      <c r="Y84" s="343"/>
      <c r="Z84" s="343"/>
      <c r="AA84" s="343"/>
    </row>
    <row r="85" spans="1:27" s="300" customFormat="1" ht="15" customHeight="1" x14ac:dyDescent="0.25">
      <c r="A85" s="467">
        <v>13224</v>
      </c>
      <c r="B85" s="302" t="s">
        <v>821</v>
      </c>
      <c r="C85" s="343"/>
      <c r="D85" s="343"/>
      <c r="E85" s="343"/>
      <c r="F85" s="343"/>
      <c r="G85" s="343"/>
      <c r="H85" s="343"/>
      <c r="I85" s="343"/>
      <c r="J85" s="343"/>
      <c r="K85" s="343"/>
      <c r="L85" s="343"/>
      <c r="M85" s="343"/>
      <c r="N85" s="343"/>
      <c r="O85" s="343"/>
      <c r="P85" s="343"/>
      <c r="Q85" s="343"/>
      <c r="R85" s="343"/>
      <c r="S85" s="343"/>
      <c r="T85" s="343"/>
      <c r="U85" s="343"/>
      <c r="V85" s="343"/>
      <c r="W85" s="343"/>
      <c r="X85" s="343"/>
      <c r="Y85" s="343"/>
      <c r="Z85" s="343"/>
      <c r="AA85" s="343"/>
    </row>
    <row r="86" spans="1:27" ht="15" customHeight="1" x14ac:dyDescent="0.25">
      <c r="A86" s="466">
        <v>14111</v>
      </c>
      <c r="B86" s="303" t="s">
        <v>829</v>
      </c>
      <c r="C86" s="343"/>
      <c r="D86" s="343"/>
      <c r="E86" s="343"/>
      <c r="F86" s="343"/>
      <c r="G86" s="343"/>
      <c r="H86" s="343"/>
      <c r="I86" s="343"/>
      <c r="J86" s="343"/>
      <c r="K86" s="343"/>
      <c r="L86" s="343"/>
      <c r="M86" s="343"/>
      <c r="N86" s="343"/>
      <c r="O86" s="343"/>
      <c r="P86" s="343"/>
      <c r="Q86" s="343"/>
      <c r="R86" s="343"/>
      <c r="S86" s="343"/>
      <c r="T86" s="343"/>
      <c r="U86" s="343"/>
      <c r="V86" s="343"/>
      <c r="W86" s="343"/>
      <c r="X86" s="343"/>
      <c r="Y86" s="343"/>
      <c r="Z86" s="343"/>
      <c r="AA86" s="343"/>
    </row>
    <row r="87" spans="1:27" ht="15" customHeight="1" x14ac:dyDescent="0.25">
      <c r="A87" s="466">
        <v>14112</v>
      </c>
      <c r="B87" s="303" t="s">
        <v>830</v>
      </c>
      <c r="C87" s="343"/>
      <c r="D87" s="343"/>
      <c r="E87" s="343"/>
      <c r="F87" s="343"/>
      <c r="G87" s="343"/>
      <c r="H87" s="343"/>
      <c r="I87" s="343"/>
      <c r="J87" s="343"/>
      <c r="K87" s="343"/>
      <c r="L87" s="343"/>
      <c r="M87" s="343"/>
      <c r="N87" s="343"/>
      <c r="O87" s="343"/>
      <c r="P87" s="343"/>
      <c r="Q87" s="343"/>
      <c r="R87" s="343"/>
      <c r="S87" s="343"/>
      <c r="T87" s="343"/>
      <c r="U87" s="343"/>
      <c r="V87" s="343"/>
      <c r="W87" s="343"/>
      <c r="X87" s="343"/>
      <c r="Y87" s="343"/>
      <c r="Z87" s="343"/>
      <c r="AA87" s="343"/>
    </row>
    <row r="88" spans="1:27" ht="15" customHeight="1" x14ac:dyDescent="0.25">
      <c r="A88" s="466">
        <v>14113</v>
      </c>
      <c r="B88" s="303" t="s">
        <v>831</v>
      </c>
      <c r="C88" s="343"/>
      <c r="D88" s="343"/>
      <c r="E88" s="343"/>
      <c r="F88" s="343"/>
      <c r="G88" s="343"/>
      <c r="H88" s="343"/>
      <c r="I88" s="343"/>
      <c r="J88" s="343"/>
      <c r="K88" s="343"/>
      <c r="L88" s="343"/>
      <c r="M88" s="343"/>
      <c r="N88" s="343"/>
      <c r="O88" s="343"/>
      <c r="P88" s="343"/>
      <c r="Q88" s="343"/>
      <c r="R88" s="343"/>
      <c r="S88" s="343"/>
      <c r="T88" s="343"/>
      <c r="U88" s="343"/>
      <c r="V88" s="343"/>
      <c r="W88" s="343"/>
      <c r="X88" s="343"/>
      <c r="Y88" s="343"/>
      <c r="Z88" s="343"/>
      <c r="AA88" s="343"/>
    </row>
    <row r="89" spans="1:27" s="300" customFormat="1" ht="15" customHeight="1" x14ac:dyDescent="0.25">
      <c r="A89" s="467">
        <v>14114</v>
      </c>
      <c r="B89" s="302" t="s">
        <v>832</v>
      </c>
      <c r="C89" s="343"/>
      <c r="D89" s="343"/>
      <c r="E89" s="343"/>
      <c r="F89" s="343"/>
      <c r="G89" s="343"/>
      <c r="H89" s="343"/>
      <c r="I89" s="343"/>
      <c r="J89" s="343"/>
      <c r="K89" s="343"/>
      <c r="L89" s="343"/>
      <c r="M89" s="343"/>
      <c r="N89" s="343"/>
      <c r="O89" s="343"/>
      <c r="P89" s="343"/>
      <c r="Q89" s="343"/>
      <c r="R89" s="343"/>
      <c r="S89" s="343"/>
      <c r="T89" s="343"/>
      <c r="U89" s="343"/>
      <c r="V89" s="343"/>
      <c r="W89" s="343"/>
      <c r="X89" s="343"/>
      <c r="Y89" s="343"/>
      <c r="Z89" s="343"/>
      <c r="AA89" s="343"/>
    </row>
    <row r="90" spans="1:27" ht="15" customHeight="1" x14ac:dyDescent="0.25">
      <c r="A90" s="466">
        <v>14121</v>
      </c>
      <c r="B90" s="303" t="s">
        <v>833</v>
      </c>
      <c r="C90" s="343"/>
      <c r="D90" s="343"/>
      <c r="E90" s="343"/>
      <c r="F90" s="343"/>
      <c r="G90" s="343"/>
      <c r="H90" s="343"/>
      <c r="I90" s="343"/>
      <c r="J90" s="343"/>
      <c r="K90" s="343"/>
      <c r="L90" s="343"/>
      <c r="M90" s="343"/>
      <c r="N90" s="343"/>
      <c r="O90" s="343"/>
      <c r="P90" s="343"/>
      <c r="Q90" s="343"/>
      <c r="R90" s="343"/>
      <c r="S90" s="343"/>
      <c r="T90" s="343"/>
      <c r="U90" s="343"/>
      <c r="V90" s="343"/>
      <c r="W90" s="343"/>
      <c r="X90" s="343"/>
      <c r="Y90" s="343"/>
      <c r="Z90" s="343"/>
      <c r="AA90" s="343"/>
    </row>
    <row r="91" spans="1:27" ht="15" customHeight="1" x14ac:dyDescent="0.25">
      <c r="A91" s="466">
        <v>14122</v>
      </c>
      <c r="B91" s="303" t="s">
        <v>830</v>
      </c>
      <c r="C91" s="343"/>
      <c r="D91" s="343"/>
      <c r="E91" s="343"/>
      <c r="F91" s="343"/>
      <c r="G91" s="343"/>
      <c r="H91" s="343"/>
      <c r="I91" s="343"/>
      <c r="J91" s="343"/>
      <c r="K91" s="343"/>
      <c r="L91" s="343"/>
      <c r="M91" s="343"/>
      <c r="N91" s="343"/>
      <c r="O91" s="343"/>
      <c r="P91" s="343"/>
      <c r="Q91" s="343"/>
      <c r="R91" s="343"/>
      <c r="S91" s="343"/>
      <c r="T91" s="343"/>
      <c r="U91" s="343"/>
      <c r="V91" s="343"/>
      <c r="W91" s="343"/>
      <c r="X91" s="343"/>
      <c r="Y91" s="343"/>
      <c r="Z91" s="343"/>
      <c r="AA91" s="343"/>
    </row>
    <row r="92" spans="1:27" ht="15" customHeight="1" x14ac:dyDescent="0.25">
      <c r="A92" s="466">
        <v>14123</v>
      </c>
      <c r="B92" s="303" t="s">
        <v>834</v>
      </c>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row>
    <row r="93" spans="1:27" s="300" customFormat="1" ht="15" customHeight="1" x14ac:dyDescent="0.25">
      <c r="A93" s="467">
        <v>14124</v>
      </c>
      <c r="B93" s="302" t="s">
        <v>832</v>
      </c>
      <c r="C93" s="343"/>
      <c r="D93" s="343"/>
      <c r="E93" s="343"/>
      <c r="F93" s="343"/>
      <c r="G93" s="343"/>
      <c r="H93" s="343"/>
      <c r="I93" s="343"/>
      <c r="J93" s="343"/>
      <c r="K93" s="343"/>
      <c r="L93" s="343"/>
      <c r="M93" s="343"/>
      <c r="N93" s="343"/>
      <c r="O93" s="343"/>
      <c r="P93" s="343"/>
      <c r="Q93" s="343"/>
      <c r="R93" s="343"/>
      <c r="S93" s="343"/>
      <c r="T93" s="343"/>
      <c r="U93" s="343"/>
      <c r="V93" s="343"/>
      <c r="W93" s="343"/>
      <c r="X93" s="343"/>
      <c r="Y93" s="343"/>
      <c r="Z93" s="343"/>
      <c r="AA93" s="343"/>
    </row>
    <row r="94" spans="1:27" ht="15" customHeight="1" x14ac:dyDescent="0.25">
      <c r="A94" s="466">
        <v>14211</v>
      </c>
      <c r="B94" s="303" t="s">
        <v>835</v>
      </c>
      <c r="C94" s="343"/>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row>
    <row r="95" spans="1:27" ht="15" customHeight="1" x14ac:dyDescent="0.25">
      <c r="A95" s="466">
        <v>14212</v>
      </c>
      <c r="B95" s="303" t="s">
        <v>836</v>
      </c>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343"/>
    </row>
    <row r="96" spans="1:27" ht="15" customHeight="1" x14ac:dyDescent="0.25">
      <c r="A96" s="466">
        <v>14213</v>
      </c>
      <c r="B96" s="303" t="s">
        <v>834</v>
      </c>
      <c r="C96" s="343"/>
      <c r="D96" s="343"/>
      <c r="E96" s="343"/>
      <c r="F96" s="343"/>
      <c r="G96" s="343"/>
      <c r="H96" s="343"/>
      <c r="I96" s="343"/>
      <c r="J96" s="343"/>
      <c r="K96" s="343"/>
      <c r="L96" s="343"/>
      <c r="M96" s="343"/>
      <c r="N96" s="343"/>
      <c r="O96" s="343"/>
      <c r="P96" s="343"/>
      <c r="Q96" s="343"/>
      <c r="R96" s="343"/>
      <c r="S96" s="343"/>
      <c r="T96" s="343"/>
      <c r="U96" s="343"/>
      <c r="V96" s="343"/>
      <c r="W96" s="343"/>
      <c r="X96" s="343"/>
      <c r="Y96" s="343"/>
      <c r="Z96" s="343"/>
      <c r="AA96" s="343"/>
    </row>
    <row r="97" spans="1:27" s="300" customFormat="1" ht="15" customHeight="1" x14ac:dyDescent="0.25">
      <c r="A97" s="467">
        <v>14214</v>
      </c>
      <c r="B97" s="302" t="s">
        <v>837</v>
      </c>
      <c r="C97" s="343"/>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row>
    <row r="98" spans="1:27" ht="15" customHeight="1" x14ac:dyDescent="0.25">
      <c r="A98" s="466">
        <v>14221</v>
      </c>
      <c r="B98" s="303" t="s">
        <v>835</v>
      </c>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row>
    <row r="99" spans="1:27" ht="15" customHeight="1" x14ac:dyDescent="0.25">
      <c r="A99" s="466">
        <v>14222</v>
      </c>
      <c r="B99" s="303" t="s">
        <v>836</v>
      </c>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row>
    <row r="100" spans="1:27" ht="15" customHeight="1" x14ac:dyDescent="0.25">
      <c r="A100" s="466">
        <v>14223</v>
      </c>
      <c r="B100" s="303" t="s">
        <v>834</v>
      </c>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row>
    <row r="101" spans="1:27" s="300" customFormat="1" ht="15" customHeight="1" x14ac:dyDescent="0.25">
      <c r="A101" s="467">
        <v>14224</v>
      </c>
      <c r="B101" s="302" t="s">
        <v>837</v>
      </c>
      <c r="C101" s="343"/>
      <c r="D101" s="343"/>
      <c r="E101" s="343"/>
      <c r="F101" s="343"/>
      <c r="G101" s="343"/>
      <c r="H101" s="343"/>
      <c r="I101" s="343"/>
      <c r="J101" s="343"/>
      <c r="K101" s="343"/>
      <c r="L101" s="343"/>
      <c r="M101" s="343"/>
      <c r="N101" s="343"/>
      <c r="O101" s="343"/>
      <c r="P101" s="343"/>
      <c r="Q101" s="343"/>
      <c r="R101" s="343"/>
      <c r="S101" s="343"/>
      <c r="T101" s="343"/>
      <c r="U101" s="343"/>
      <c r="V101" s="343"/>
      <c r="W101" s="343"/>
      <c r="X101" s="343"/>
      <c r="Y101" s="343"/>
      <c r="Z101" s="343"/>
      <c r="AA101" s="343"/>
    </row>
    <row r="102" spans="1:27" s="320" customFormat="1" ht="15" customHeight="1" x14ac:dyDescent="0.25">
      <c r="A102" s="465">
        <v>21031</v>
      </c>
      <c r="B102" s="833" t="s">
        <v>792</v>
      </c>
      <c r="C102" s="343"/>
      <c r="D102" s="343"/>
      <c r="E102" s="343"/>
      <c r="F102" s="343"/>
      <c r="G102" s="343"/>
      <c r="H102" s="343"/>
      <c r="I102" s="343"/>
      <c r="J102" s="343"/>
      <c r="K102" s="343"/>
      <c r="L102" s="343"/>
      <c r="M102" s="343"/>
      <c r="N102" s="343"/>
      <c r="O102" s="343"/>
      <c r="P102" s="343"/>
      <c r="Q102" s="343"/>
      <c r="R102" s="343"/>
      <c r="S102" s="343"/>
      <c r="T102" s="343"/>
      <c r="U102" s="343"/>
      <c r="V102" s="343"/>
      <c r="W102" s="343"/>
      <c r="X102" s="343"/>
      <c r="Y102" s="343"/>
      <c r="Z102" s="343"/>
      <c r="AA102" s="343"/>
    </row>
    <row r="103" spans="1:27" s="320" customFormat="1" ht="12.75" customHeight="1" x14ac:dyDescent="0.25">
      <c r="A103" s="466">
        <v>21032</v>
      </c>
      <c r="B103" s="303" t="s">
        <v>793</v>
      </c>
      <c r="C103" s="343"/>
      <c r="D103" s="343"/>
      <c r="E103" s="343"/>
      <c r="F103" s="343"/>
      <c r="G103" s="343"/>
      <c r="H103" s="343"/>
      <c r="I103" s="343"/>
      <c r="J103" s="343"/>
      <c r="K103" s="343"/>
      <c r="L103" s="343"/>
      <c r="M103" s="343"/>
      <c r="N103" s="343"/>
      <c r="O103" s="343"/>
      <c r="P103" s="343"/>
      <c r="Q103" s="343"/>
      <c r="R103" s="343"/>
      <c r="S103" s="343"/>
      <c r="T103" s="343"/>
      <c r="U103" s="343"/>
      <c r="V103" s="343"/>
      <c r="W103" s="343"/>
      <c r="X103" s="343"/>
      <c r="Y103" s="343"/>
      <c r="Z103" s="343"/>
      <c r="AA103" s="343"/>
    </row>
    <row r="104" spans="1:27" s="320" customFormat="1" ht="12.75" customHeight="1" x14ac:dyDescent="0.25">
      <c r="A104" s="466">
        <v>21033</v>
      </c>
      <c r="B104" s="303" t="s">
        <v>794</v>
      </c>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row>
    <row r="105" spans="1:27" s="320" customFormat="1" ht="12.75" customHeight="1" x14ac:dyDescent="0.25">
      <c r="A105" s="467">
        <v>21034</v>
      </c>
      <c r="B105" s="302"/>
      <c r="C105" s="343"/>
      <c r="D105" s="343"/>
      <c r="E105" s="343"/>
      <c r="F105" s="343"/>
      <c r="G105" s="343"/>
      <c r="H105" s="343"/>
      <c r="I105" s="343"/>
      <c r="J105" s="343"/>
      <c r="K105" s="343"/>
      <c r="L105" s="343"/>
      <c r="M105" s="343"/>
      <c r="N105" s="343"/>
      <c r="O105" s="343"/>
      <c r="P105" s="343"/>
      <c r="Q105" s="343"/>
      <c r="R105" s="343"/>
      <c r="S105" s="343"/>
      <c r="T105" s="343"/>
      <c r="U105" s="343"/>
      <c r="V105" s="343"/>
      <c r="W105" s="343"/>
      <c r="X105" s="343"/>
      <c r="Y105" s="343"/>
      <c r="Z105" s="343"/>
      <c r="AA105" s="343"/>
    </row>
    <row r="106" spans="1:27" s="320" customFormat="1" ht="12.75" customHeight="1" x14ac:dyDescent="0.25">
      <c r="A106" s="466">
        <v>21131</v>
      </c>
      <c r="B106" s="303" t="s">
        <v>792</v>
      </c>
      <c r="C106" s="343"/>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343"/>
      <c r="AA106" s="343"/>
    </row>
    <row r="107" spans="1:27" s="320" customFormat="1" ht="12.75" customHeight="1" x14ac:dyDescent="0.25">
      <c r="A107" s="466">
        <v>21132</v>
      </c>
      <c r="B107" s="303" t="s">
        <v>795</v>
      </c>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3"/>
      <c r="Y107" s="343"/>
      <c r="Z107" s="343"/>
      <c r="AA107" s="343"/>
    </row>
    <row r="108" spans="1:27" s="320" customFormat="1" ht="12.75" customHeight="1" x14ac:dyDescent="0.25">
      <c r="A108" s="466">
        <v>21133</v>
      </c>
      <c r="B108" s="303" t="s">
        <v>796</v>
      </c>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3"/>
      <c r="Y108" s="343"/>
      <c r="Z108" s="343"/>
      <c r="AA108" s="343"/>
    </row>
    <row r="109" spans="1:27" s="320" customFormat="1" ht="12.75" customHeight="1" x14ac:dyDescent="0.25">
      <c r="A109" s="467">
        <v>21134</v>
      </c>
      <c r="B109" s="302"/>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3"/>
      <c r="Y109" s="343"/>
      <c r="Z109" s="343"/>
      <c r="AA109" s="343"/>
    </row>
    <row r="110" spans="1:27" s="320" customFormat="1" ht="12.75" customHeight="1" x14ac:dyDescent="0.25">
      <c r="A110" s="466">
        <v>21231</v>
      </c>
      <c r="B110" s="303" t="s">
        <v>792</v>
      </c>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3"/>
      <c r="Y110" s="343"/>
      <c r="Z110" s="343"/>
      <c r="AA110" s="343"/>
    </row>
    <row r="111" spans="1:27" s="320" customFormat="1" ht="12.75" customHeight="1" x14ac:dyDescent="0.25">
      <c r="A111" s="466">
        <v>21232</v>
      </c>
      <c r="B111" s="303" t="s">
        <v>797</v>
      </c>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3"/>
      <c r="Y111" s="343"/>
      <c r="Z111" s="343"/>
      <c r="AA111" s="343"/>
    </row>
    <row r="112" spans="1:27" s="320" customFormat="1" ht="12.75" customHeight="1" x14ac:dyDescent="0.25">
      <c r="A112" s="466">
        <v>21233</v>
      </c>
      <c r="B112" s="303" t="s">
        <v>798</v>
      </c>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row>
    <row r="113" spans="1:27" s="320" customFormat="1" ht="12.75" customHeight="1" x14ac:dyDescent="0.25">
      <c r="A113" s="466">
        <v>21234</v>
      </c>
      <c r="B113" s="303"/>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row>
    <row r="114" spans="1:27" s="320" customFormat="1" ht="12.75" customHeight="1" x14ac:dyDescent="0.25">
      <c r="A114" s="465">
        <v>21111</v>
      </c>
      <c r="B114" s="833" t="s">
        <v>799</v>
      </c>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row>
    <row r="115" spans="1:27" s="320" customFormat="1" ht="38.25" customHeight="1" x14ac:dyDescent="0.25">
      <c r="A115" s="466">
        <v>21112</v>
      </c>
      <c r="B115" s="303" t="s">
        <v>838</v>
      </c>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row>
    <row r="116" spans="1:27" s="320" customFormat="1" ht="12.75" customHeight="1" x14ac:dyDescent="0.25">
      <c r="A116" s="466">
        <v>21113</v>
      </c>
      <c r="B116" s="303" t="s">
        <v>839</v>
      </c>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row>
    <row r="117" spans="1:27" s="320" customFormat="1" ht="12.75" customHeight="1" x14ac:dyDescent="0.25">
      <c r="A117" s="467">
        <v>21114</v>
      </c>
      <c r="B117" s="302" t="s">
        <v>802</v>
      </c>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3"/>
      <c r="Y117" s="343"/>
      <c r="Z117" s="343"/>
      <c r="AA117" s="343"/>
    </row>
    <row r="118" spans="1:27" s="320" customFormat="1" ht="15" customHeight="1" x14ac:dyDescent="0.25">
      <c r="A118" s="466">
        <v>21211</v>
      </c>
      <c r="B118" s="303" t="s">
        <v>799</v>
      </c>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3"/>
      <c r="Y118" s="343"/>
      <c r="Z118" s="343"/>
      <c r="AA118" s="343"/>
    </row>
    <row r="119" spans="1:27" s="320" customFormat="1" ht="38.25" customHeight="1" x14ac:dyDescent="0.25">
      <c r="A119" s="466">
        <v>21212</v>
      </c>
      <c r="B119" s="303" t="s">
        <v>840</v>
      </c>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row>
    <row r="120" spans="1:27" s="320" customFormat="1" ht="12.75" customHeight="1" x14ac:dyDescent="0.25">
      <c r="A120" s="466">
        <v>21213</v>
      </c>
      <c r="B120" s="303" t="s">
        <v>841</v>
      </c>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row>
    <row r="121" spans="1:27" s="320" customFormat="1" ht="12.75" customHeight="1" x14ac:dyDescent="0.25">
      <c r="A121" s="467">
        <v>21214</v>
      </c>
      <c r="B121" s="302" t="s">
        <v>802</v>
      </c>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row>
    <row r="122" spans="1:27" s="320" customFormat="1" ht="15" customHeight="1" x14ac:dyDescent="0.25">
      <c r="A122" s="466">
        <v>21121</v>
      </c>
      <c r="B122" s="303" t="s">
        <v>805</v>
      </c>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3"/>
      <c r="Y122" s="343"/>
      <c r="Z122" s="343"/>
      <c r="AA122" s="343"/>
    </row>
    <row r="123" spans="1:27" s="320" customFormat="1" ht="41.25" customHeight="1" x14ac:dyDescent="0.25">
      <c r="A123" s="466">
        <v>21122</v>
      </c>
      <c r="B123" s="303" t="s">
        <v>842</v>
      </c>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3"/>
      <c r="Y123" s="343"/>
      <c r="Z123" s="343"/>
      <c r="AA123" s="343"/>
    </row>
    <row r="124" spans="1:27" s="320" customFormat="1" ht="12.75" customHeight="1" x14ac:dyDescent="0.25">
      <c r="A124" s="466">
        <v>21123</v>
      </c>
      <c r="B124" s="303" t="s">
        <v>839</v>
      </c>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row>
    <row r="125" spans="1:27" s="320" customFormat="1" ht="12.75" customHeight="1" x14ac:dyDescent="0.25">
      <c r="A125" s="467">
        <v>21124</v>
      </c>
      <c r="B125" s="302" t="s">
        <v>802</v>
      </c>
      <c r="C125" s="343"/>
      <c r="D125" s="343"/>
      <c r="E125" s="343"/>
      <c r="F125" s="343"/>
      <c r="G125" s="343"/>
      <c r="H125" s="343"/>
      <c r="I125" s="343"/>
      <c r="J125" s="343"/>
      <c r="K125" s="343"/>
      <c r="L125" s="343"/>
      <c r="M125" s="343"/>
      <c r="N125" s="343"/>
      <c r="O125" s="343"/>
      <c r="P125" s="343"/>
      <c r="Q125" s="343"/>
      <c r="R125" s="343"/>
      <c r="S125" s="343"/>
      <c r="T125" s="343"/>
      <c r="U125" s="343"/>
      <c r="V125" s="343"/>
      <c r="W125" s="343"/>
      <c r="X125" s="343"/>
      <c r="Y125" s="343"/>
      <c r="Z125" s="343"/>
      <c r="AA125" s="343"/>
    </row>
    <row r="126" spans="1:27" s="320" customFormat="1" ht="15" customHeight="1" x14ac:dyDescent="0.25">
      <c r="A126" s="466">
        <v>21221</v>
      </c>
      <c r="B126" s="303" t="s">
        <v>799</v>
      </c>
      <c r="C126" s="343"/>
      <c r="D126" s="343"/>
      <c r="E126" s="343"/>
      <c r="F126" s="343"/>
      <c r="G126" s="343"/>
      <c r="H126" s="343"/>
      <c r="I126" s="343"/>
      <c r="J126" s="343"/>
      <c r="K126" s="343"/>
      <c r="L126" s="343"/>
      <c r="M126" s="343"/>
      <c r="N126" s="343"/>
      <c r="O126" s="343"/>
      <c r="P126" s="343"/>
      <c r="Q126" s="343"/>
      <c r="R126" s="343"/>
      <c r="S126" s="343"/>
      <c r="T126" s="343"/>
      <c r="U126" s="343"/>
      <c r="V126" s="343"/>
      <c r="W126" s="343"/>
      <c r="X126" s="343"/>
      <c r="Y126" s="343"/>
      <c r="Z126" s="343"/>
      <c r="AA126" s="343"/>
    </row>
    <row r="127" spans="1:27" s="320" customFormat="1" ht="39.75" customHeight="1" x14ac:dyDescent="0.25">
      <c r="A127" s="466">
        <v>21222</v>
      </c>
      <c r="B127" s="303" t="s">
        <v>843</v>
      </c>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row>
    <row r="128" spans="1:27" s="320" customFormat="1" ht="12.75" customHeight="1" x14ac:dyDescent="0.25">
      <c r="A128" s="466">
        <v>21223</v>
      </c>
      <c r="B128" s="303" t="s">
        <v>844</v>
      </c>
      <c r="C128" s="343"/>
      <c r="D128" s="343"/>
      <c r="E128" s="343"/>
      <c r="F128" s="343"/>
      <c r="G128" s="343"/>
      <c r="H128" s="343"/>
      <c r="I128" s="343"/>
      <c r="J128" s="343"/>
      <c r="K128" s="343"/>
      <c r="L128" s="343"/>
      <c r="M128" s="343"/>
      <c r="N128" s="343"/>
      <c r="O128" s="343"/>
      <c r="P128" s="343"/>
      <c r="Q128" s="343"/>
      <c r="R128" s="343"/>
      <c r="S128" s="343"/>
      <c r="T128" s="343"/>
      <c r="U128" s="343"/>
      <c r="V128" s="343"/>
      <c r="W128" s="343"/>
      <c r="X128" s="343"/>
      <c r="Y128" s="343"/>
      <c r="Z128" s="343"/>
      <c r="AA128" s="343"/>
    </row>
    <row r="129" spans="1:27" s="320" customFormat="1" ht="12.75" customHeight="1" x14ac:dyDescent="0.25">
      <c r="A129" s="467">
        <v>21224</v>
      </c>
      <c r="B129" s="302" t="s">
        <v>802</v>
      </c>
      <c r="C129" s="343"/>
      <c r="D129" s="343"/>
      <c r="E129" s="343"/>
      <c r="F129" s="343"/>
      <c r="G129" s="343"/>
      <c r="H129" s="343"/>
      <c r="I129" s="343"/>
      <c r="J129" s="343"/>
      <c r="K129" s="343"/>
      <c r="L129" s="343"/>
      <c r="M129" s="343"/>
      <c r="N129" s="343"/>
      <c r="O129" s="343"/>
      <c r="P129" s="343"/>
      <c r="Q129" s="343"/>
      <c r="R129" s="343"/>
      <c r="S129" s="343"/>
      <c r="T129" s="343"/>
      <c r="U129" s="343"/>
      <c r="V129" s="343"/>
      <c r="W129" s="343"/>
      <c r="X129" s="343"/>
      <c r="Y129" s="343"/>
      <c r="Z129" s="343"/>
      <c r="AA129" s="343"/>
    </row>
    <row r="130" spans="1:27" s="320" customFormat="1" ht="15" customHeight="1" x14ac:dyDescent="0.25">
      <c r="A130" s="466">
        <v>22111</v>
      </c>
      <c r="B130" s="303" t="s">
        <v>810</v>
      </c>
      <c r="C130" s="343"/>
      <c r="D130" s="343"/>
      <c r="E130" s="343"/>
      <c r="F130" s="343"/>
      <c r="G130" s="343"/>
      <c r="H130" s="343"/>
      <c r="I130" s="343"/>
      <c r="J130" s="343"/>
      <c r="K130" s="343"/>
      <c r="L130" s="343"/>
      <c r="M130" s="343"/>
      <c r="N130" s="343"/>
      <c r="O130" s="343"/>
      <c r="P130" s="343"/>
      <c r="Q130" s="343"/>
      <c r="R130" s="343"/>
      <c r="S130" s="343"/>
      <c r="T130" s="343"/>
      <c r="U130" s="343"/>
      <c r="V130" s="343"/>
      <c r="W130" s="343"/>
      <c r="X130" s="343"/>
      <c r="Y130" s="343"/>
      <c r="Z130" s="343"/>
      <c r="AA130" s="343"/>
    </row>
    <row r="131" spans="1:27" s="320" customFormat="1" ht="15" customHeight="1" x14ac:dyDescent="0.25">
      <c r="A131" s="466">
        <v>22112</v>
      </c>
      <c r="B131" s="303" t="s">
        <v>811</v>
      </c>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row>
    <row r="132" spans="1:27" s="320" customFormat="1" ht="15" customHeight="1" x14ac:dyDescent="0.25">
      <c r="A132" s="466">
        <v>22113</v>
      </c>
      <c r="B132" s="303" t="s">
        <v>812</v>
      </c>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row>
    <row r="133" spans="1:27" s="320" customFormat="1" ht="15" customHeight="1" x14ac:dyDescent="0.25">
      <c r="A133" s="467">
        <v>22114</v>
      </c>
      <c r="B133" s="302"/>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row>
    <row r="134" spans="1:27" s="320" customFormat="1" ht="15" customHeight="1" x14ac:dyDescent="0.25">
      <c r="A134" s="466">
        <v>22121</v>
      </c>
      <c r="B134" s="303" t="s">
        <v>810</v>
      </c>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row>
    <row r="135" spans="1:27" s="320" customFormat="1" ht="15" customHeight="1" x14ac:dyDescent="0.25">
      <c r="A135" s="466">
        <v>22122</v>
      </c>
      <c r="B135" s="303" t="s">
        <v>811</v>
      </c>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row>
    <row r="136" spans="1:27" s="320" customFormat="1" ht="15" customHeight="1" x14ac:dyDescent="0.25">
      <c r="A136" s="466">
        <v>22123</v>
      </c>
      <c r="B136" s="303" t="s">
        <v>812</v>
      </c>
      <c r="C136" s="343"/>
      <c r="D136" s="343"/>
      <c r="E136" s="343"/>
      <c r="F136" s="343"/>
      <c r="G136" s="343"/>
      <c r="H136" s="343"/>
      <c r="I136" s="343"/>
      <c r="J136" s="343"/>
      <c r="K136" s="343"/>
      <c r="L136" s="343"/>
      <c r="M136" s="343"/>
      <c r="N136" s="343"/>
      <c r="O136" s="343"/>
      <c r="P136" s="343"/>
      <c r="Q136" s="343"/>
      <c r="R136" s="343"/>
      <c r="S136" s="343"/>
      <c r="T136" s="343"/>
      <c r="U136" s="343"/>
      <c r="V136" s="343"/>
      <c r="W136" s="343"/>
      <c r="X136" s="343"/>
      <c r="Y136" s="343"/>
      <c r="Z136" s="343"/>
      <c r="AA136" s="343"/>
    </row>
    <row r="137" spans="1:27" s="320" customFormat="1" ht="15" customHeight="1" x14ac:dyDescent="0.25">
      <c r="A137" s="467">
        <v>22124</v>
      </c>
      <c r="B137" s="302"/>
      <c r="C137" s="343"/>
      <c r="D137" s="343"/>
      <c r="E137" s="343"/>
      <c r="F137" s="343"/>
      <c r="G137" s="343"/>
      <c r="H137" s="343"/>
      <c r="I137" s="343"/>
      <c r="J137" s="343"/>
      <c r="K137" s="343"/>
      <c r="L137" s="343"/>
      <c r="M137" s="343"/>
      <c r="N137" s="343"/>
      <c r="O137" s="343"/>
      <c r="P137" s="343"/>
      <c r="Q137" s="343"/>
      <c r="R137" s="343"/>
      <c r="S137" s="343"/>
      <c r="T137" s="343"/>
      <c r="U137" s="343"/>
      <c r="V137" s="343"/>
      <c r="W137" s="343"/>
      <c r="X137" s="343"/>
      <c r="Y137" s="343"/>
      <c r="Z137" s="343"/>
      <c r="AA137" s="343"/>
    </row>
    <row r="138" spans="1:27" s="320" customFormat="1" ht="15" customHeight="1" x14ac:dyDescent="0.25">
      <c r="A138" s="466">
        <v>22211</v>
      </c>
      <c r="B138" s="303" t="s">
        <v>813</v>
      </c>
      <c r="C138" s="343"/>
      <c r="D138" s="343"/>
      <c r="E138" s="343"/>
      <c r="F138" s="343"/>
      <c r="G138" s="343"/>
      <c r="H138" s="343"/>
      <c r="I138" s="343"/>
      <c r="J138" s="343"/>
      <c r="K138" s="343"/>
      <c r="L138" s="343"/>
      <c r="M138" s="343"/>
      <c r="N138" s="343"/>
      <c r="O138" s="343"/>
      <c r="P138" s="343"/>
      <c r="Q138" s="343"/>
      <c r="R138" s="343"/>
      <c r="S138" s="343"/>
      <c r="T138" s="343"/>
      <c r="U138" s="343"/>
      <c r="V138" s="343"/>
      <c r="W138" s="343"/>
      <c r="X138" s="343"/>
      <c r="Y138" s="343"/>
      <c r="Z138" s="343"/>
      <c r="AA138" s="343"/>
    </row>
    <row r="139" spans="1:27" s="320" customFormat="1" ht="15" customHeight="1" x14ac:dyDescent="0.25">
      <c r="A139" s="466">
        <v>22212</v>
      </c>
      <c r="B139" s="303" t="s">
        <v>814</v>
      </c>
      <c r="C139" s="343"/>
      <c r="D139" s="343"/>
      <c r="E139" s="343"/>
      <c r="F139" s="343"/>
      <c r="G139" s="343"/>
      <c r="H139" s="343"/>
      <c r="I139" s="343"/>
      <c r="J139" s="343"/>
      <c r="K139" s="343"/>
      <c r="L139" s="343"/>
      <c r="M139" s="343"/>
      <c r="N139" s="343"/>
      <c r="O139" s="343"/>
      <c r="P139" s="343"/>
      <c r="Q139" s="343"/>
      <c r="R139" s="343"/>
      <c r="S139" s="343"/>
      <c r="T139" s="343"/>
      <c r="U139" s="343"/>
      <c r="V139" s="343"/>
      <c r="W139" s="343"/>
      <c r="X139" s="343"/>
      <c r="Y139" s="343"/>
      <c r="Z139" s="343"/>
      <c r="AA139" s="343"/>
    </row>
    <row r="140" spans="1:27" s="320" customFormat="1" ht="15" customHeight="1" x14ac:dyDescent="0.25">
      <c r="A140" s="466">
        <v>22213</v>
      </c>
      <c r="B140" s="303" t="s">
        <v>815</v>
      </c>
      <c r="C140" s="343"/>
      <c r="D140" s="343"/>
      <c r="E140" s="343"/>
      <c r="F140" s="343"/>
      <c r="G140" s="343"/>
      <c r="H140" s="343"/>
      <c r="I140" s="343"/>
      <c r="J140" s="343"/>
      <c r="K140" s="343"/>
      <c r="L140" s="343"/>
      <c r="M140" s="343"/>
      <c r="N140" s="343"/>
      <c r="O140" s="343"/>
      <c r="P140" s="343"/>
      <c r="Q140" s="343"/>
      <c r="R140" s="343"/>
      <c r="S140" s="343"/>
      <c r="T140" s="343"/>
      <c r="U140" s="343"/>
      <c r="V140" s="343"/>
      <c r="W140" s="343"/>
      <c r="X140" s="343"/>
      <c r="Y140" s="343"/>
      <c r="Z140" s="343"/>
      <c r="AA140" s="343"/>
    </row>
    <row r="141" spans="1:27" s="320" customFormat="1" ht="15" customHeight="1" x14ac:dyDescent="0.25">
      <c r="A141" s="467">
        <v>22214</v>
      </c>
      <c r="B141" s="302"/>
      <c r="C141" s="343"/>
      <c r="D141" s="343"/>
      <c r="E141" s="343"/>
      <c r="F141" s="343"/>
      <c r="G141" s="343"/>
      <c r="H141" s="343"/>
      <c r="I141" s="343"/>
      <c r="J141" s="343"/>
      <c r="K141" s="343"/>
      <c r="L141" s="343"/>
      <c r="M141" s="343"/>
      <c r="N141" s="343"/>
      <c r="O141" s="343"/>
      <c r="P141" s="343"/>
      <c r="Q141" s="343"/>
      <c r="R141" s="343"/>
      <c r="S141" s="343"/>
      <c r="T141" s="343"/>
      <c r="U141" s="343"/>
      <c r="V141" s="343"/>
      <c r="W141" s="343"/>
      <c r="X141" s="343"/>
      <c r="Y141" s="343"/>
      <c r="Z141" s="343"/>
      <c r="AA141" s="343"/>
    </row>
    <row r="142" spans="1:27" s="320" customFormat="1" ht="15" customHeight="1" x14ac:dyDescent="0.25">
      <c r="A142" s="466">
        <v>22221</v>
      </c>
      <c r="B142" s="303" t="s">
        <v>816</v>
      </c>
      <c r="C142" s="343"/>
      <c r="D142" s="343"/>
      <c r="E142" s="343"/>
      <c r="F142" s="343"/>
      <c r="G142" s="343"/>
      <c r="H142" s="343"/>
      <c r="I142" s="343"/>
      <c r="J142" s="343"/>
      <c r="K142" s="343"/>
      <c r="L142" s="343"/>
      <c r="M142" s="343"/>
      <c r="N142" s="343"/>
      <c r="O142" s="343"/>
      <c r="P142" s="343"/>
      <c r="Q142" s="343"/>
      <c r="R142" s="343"/>
      <c r="S142" s="343"/>
      <c r="T142" s="343"/>
      <c r="U142" s="343"/>
      <c r="V142" s="343"/>
      <c r="W142" s="343"/>
      <c r="X142" s="343"/>
      <c r="Y142" s="343"/>
      <c r="Z142" s="343"/>
      <c r="AA142" s="343"/>
    </row>
    <row r="143" spans="1:27" s="320" customFormat="1" ht="15" customHeight="1" x14ac:dyDescent="0.25">
      <c r="A143" s="466">
        <v>22222</v>
      </c>
      <c r="B143" s="303" t="s">
        <v>817</v>
      </c>
      <c r="C143" s="343"/>
      <c r="D143" s="343"/>
      <c r="E143" s="343"/>
      <c r="F143" s="343"/>
      <c r="G143" s="343"/>
      <c r="H143" s="343"/>
      <c r="I143" s="343"/>
      <c r="J143" s="343"/>
      <c r="K143" s="343"/>
      <c r="L143" s="343"/>
      <c r="M143" s="343"/>
      <c r="N143" s="343"/>
      <c r="O143" s="343"/>
      <c r="P143" s="343"/>
      <c r="Q143" s="343"/>
      <c r="R143" s="343"/>
      <c r="S143" s="343"/>
      <c r="T143" s="343"/>
      <c r="U143" s="343"/>
      <c r="V143" s="343"/>
      <c r="W143" s="343"/>
      <c r="X143" s="343"/>
      <c r="Y143" s="343"/>
      <c r="Z143" s="343"/>
      <c r="AA143" s="343"/>
    </row>
    <row r="144" spans="1:27" s="320" customFormat="1" ht="15" customHeight="1" x14ac:dyDescent="0.25">
      <c r="A144" s="466">
        <v>22223</v>
      </c>
      <c r="B144" s="303" t="s">
        <v>815</v>
      </c>
      <c r="C144" s="343"/>
      <c r="D144" s="343"/>
      <c r="E144" s="343"/>
      <c r="F144" s="343"/>
      <c r="G144" s="343"/>
      <c r="H144" s="343"/>
      <c r="I144" s="343"/>
      <c r="J144" s="343"/>
      <c r="K144" s="343"/>
      <c r="L144" s="343"/>
      <c r="M144" s="343"/>
      <c r="N144" s="343"/>
      <c r="O144" s="343"/>
      <c r="P144" s="343"/>
      <c r="Q144" s="343"/>
      <c r="R144" s="343"/>
      <c r="S144" s="343"/>
      <c r="T144" s="343"/>
      <c r="U144" s="343"/>
      <c r="V144" s="343"/>
      <c r="W144" s="343"/>
      <c r="X144" s="343"/>
      <c r="Y144" s="343"/>
      <c r="Z144" s="343"/>
      <c r="AA144" s="343"/>
    </row>
    <row r="145" spans="1:27" s="320" customFormat="1" ht="15" customHeight="1" x14ac:dyDescent="0.25">
      <c r="A145" s="467">
        <v>22224</v>
      </c>
      <c r="B145" s="302"/>
      <c r="C145" s="343"/>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row>
    <row r="146" spans="1:27" s="320" customFormat="1" ht="15" customHeight="1" x14ac:dyDescent="0.25">
      <c r="A146" s="466">
        <v>22231</v>
      </c>
      <c r="B146" s="303" t="s">
        <v>816</v>
      </c>
      <c r="C146" s="343"/>
      <c r="D146" s="343"/>
      <c r="E146" s="343"/>
      <c r="F146" s="343"/>
      <c r="G146" s="343"/>
      <c r="H146" s="343"/>
      <c r="I146" s="343"/>
      <c r="J146" s="343"/>
      <c r="K146" s="343"/>
      <c r="L146" s="343"/>
      <c r="M146" s="343"/>
      <c r="N146" s="343"/>
      <c r="O146" s="343"/>
      <c r="P146" s="343"/>
      <c r="Q146" s="343"/>
      <c r="R146" s="343"/>
      <c r="S146" s="343"/>
      <c r="T146" s="343"/>
      <c r="U146" s="343"/>
      <c r="V146" s="343"/>
      <c r="W146" s="343"/>
      <c r="X146" s="343"/>
      <c r="Y146" s="343"/>
      <c r="Z146" s="343"/>
      <c r="AA146" s="343"/>
    </row>
    <row r="147" spans="1:27" s="320" customFormat="1" ht="15" customHeight="1" x14ac:dyDescent="0.25">
      <c r="A147" s="466">
        <v>22232</v>
      </c>
      <c r="B147" s="303" t="s">
        <v>817</v>
      </c>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row>
    <row r="148" spans="1:27" s="320" customFormat="1" ht="15" customHeight="1" x14ac:dyDescent="0.25">
      <c r="A148" s="466">
        <v>22233</v>
      </c>
      <c r="B148" s="303" t="s">
        <v>815</v>
      </c>
      <c r="C148" s="343"/>
      <c r="D148" s="343"/>
      <c r="E148" s="343"/>
      <c r="F148" s="343"/>
      <c r="G148" s="343"/>
      <c r="H148" s="343"/>
      <c r="I148" s="343"/>
      <c r="J148" s="343"/>
      <c r="K148" s="343"/>
      <c r="L148" s="343"/>
      <c r="M148" s="343"/>
      <c r="N148" s="343"/>
      <c r="O148" s="343"/>
      <c r="P148" s="343"/>
      <c r="Q148" s="343"/>
      <c r="R148" s="343"/>
      <c r="S148" s="343"/>
      <c r="T148" s="343"/>
      <c r="U148" s="343"/>
      <c r="V148" s="343"/>
      <c r="W148" s="343"/>
      <c r="X148" s="343"/>
      <c r="Y148" s="343"/>
      <c r="Z148" s="343"/>
      <c r="AA148" s="343"/>
    </row>
    <row r="149" spans="1:27" s="320" customFormat="1" ht="15" customHeight="1" x14ac:dyDescent="0.25">
      <c r="A149" s="467">
        <v>22234</v>
      </c>
      <c r="B149" s="302"/>
      <c r="C149" s="343"/>
      <c r="D149" s="343"/>
      <c r="E149" s="343"/>
      <c r="F149" s="343"/>
      <c r="G149" s="343"/>
      <c r="H149" s="343"/>
      <c r="I149" s="343"/>
      <c r="J149" s="343"/>
      <c r="K149" s="343"/>
      <c r="L149" s="343"/>
      <c r="M149" s="343"/>
      <c r="N149" s="343"/>
      <c r="O149" s="343"/>
      <c r="P149" s="343"/>
      <c r="Q149" s="343"/>
      <c r="R149" s="343"/>
      <c r="S149" s="343"/>
      <c r="T149" s="343"/>
      <c r="U149" s="343"/>
      <c r="V149" s="343"/>
      <c r="W149" s="343"/>
      <c r="X149" s="343"/>
      <c r="Y149" s="343"/>
      <c r="Z149" s="343"/>
      <c r="AA149" s="343"/>
    </row>
    <row r="150" spans="1:27" s="320" customFormat="1" ht="15" customHeight="1" x14ac:dyDescent="0.25">
      <c r="A150" s="466">
        <v>23111</v>
      </c>
      <c r="B150" s="303" t="s">
        <v>818</v>
      </c>
      <c r="C150" s="343"/>
      <c r="D150" s="343"/>
      <c r="E150" s="343"/>
      <c r="F150" s="343"/>
      <c r="G150" s="343"/>
      <c r="H150" s="343"/>
      <c r="I150" s="343"/>
      <c r="J150" s="343"/>
      <c r="K150" s="343"/>
      <c r="L150" s="343"/>
      <c r="M150" s="343"/>
      <c r="N150" s="343"/>
      <c r="O150" s="343"/>
      <c r="P150" s="343"/>
      <c r="Q150" s="343"/>
      <c r="R150" s="343"/>
      <c r="S150" s="343"/>
      <c r="T150" s="343"/>
      <c r="U150" s="343"/>
      <c r="V150" s="343"/>
      <c r="W150" s="343"/>
      <c r="X150" s="343"/>
      <c r="Y150" s="343"/>
      <c r="Z150" s="343"/>
      <c r="AA150" s="343"/>
    </row>
    <row r="151" spans="1:27" s="320" customFormat="1" ht="15" customHeight="1" x14ac:dyDescent="0.25">
      <c r="A151" s="466">
        <v>23112</v>
      </c>
      <c r="B151" s="303" t="s">
        <v>819</v>
      </c>
      <c r="C151" s="343"/>
      <c r="D151" s="343"/>
      <c r="E151" s="343"/>
      <c r="F151" s="343"/>
      <c r="G151" s="343"/>
      <c r="H151" s="343"/>
      <c r="I151" s="343"/>
      <c r="J151" s="343"/>
      <c r="K151" s="343"/>
      <c r="L151" s="343"/>
      <c r="M151" s="343"/>
      <c r="N151" s="343"/>
      <c r="O151" s="343"/>
      <c r="P151" s="343"/>
      <c r="Q151" s="343"/>
      <c r="R151" s="343"/>
      <c r="S151" s="343"/>
      <c r="T151" s="343"/>
      <c r="U151" s="343"/>
      <c r="V151" s="343"/>
      <c r="W151" s="343"/>
      <c r="X151" s="343"/>
      <c r="Y151" s="343"/>
      <c r="Z151" s="343"/>
      <c r="AA151" s="343"/>
    </row>
    <row r="152" spans="1:27" s="320" customFormat="1" ht="15" customHeight="1" x14ac:dyDescent="0.25">
      <c r="A152" s="466">
        <v>23113</v>
      </c>
      <c r="B152" s="303" t="s">
        <v>845</v>
      </c>
      <c r="C152" s="343"/>
      <c r="D152" s="343"/>
      <c r="E152" s="343"/>
      <c r="F152" s="343"/>
      <c r="G152" s="343"/>
      <c r="H152" s="343"/>
      <c r="I152" s="343"/>
      <c r="J152" s="343"/>
      <c r="K152" s="343"/>
      <c r="L152" s="343"/>
      <c r="M152" s="343"/>
      <c r="N152" s="343"/>
      <c r="O152" s="343"/>
      <c r="P152" s="343"/>
      <c r="Q152" s="343"/>
      <c r="R152" s="343"/>
      <c r="S152" s="343"/>
      <c r="T152" s="343"/>
      <c r="U152" s="343"/>
      <c r="V152" s="343"/>
      <c r="W152" s="343"/>
      <c r="X152" s="343"/>
      <c r="Y152" s="343"/>
      <c r="Z152" s="343"/>
      <c r="AA152" s="343"/>
    </row>
    <row r="153" spans="1:27" s="320" customFormat="1" ht="15" customHeight="1" x14ac:dyDescent="0.25">
      <c r="A153" s="467">
        <v>23114</v>
      </c>
      <c r="B153" s="302" t="s">
        <v>821</v>
      </c>
      <c r="C153" s="343"/>
      <c r="D153" s="343"/>
      <c r="E153" s="343"/>
      <c r="F153" s="343"/>
      <c r="G153" s="343"/>
      <c r="H153" s="343"/>
      <c r="I153" s="343"/>
      <c r="J153" s="343"/>
      <c r="K153" s="343"/>
      <c r="L153" s="343"/>
      <c r="M153" s="343"/>
      <c r="N153" s="343"/>
      <c r="O153" s="343"/>
      <c r="P153" s="343"/>
      <c r="Q153" s="343"/>
      <c r="R153" s="343"/>
      <c r="S153" s="343"/>
      <c r="T153" s="343"/>
      <c r="U153" s="343"/>
      <c r="V153" s="343"/>
      <c r="W153" s="343"/>
      <c r="X153" s="343"/>
      <c r="Y153" s="343"/>
      <c r="Z153" s="343"/>
      <c r="AA153" s="343"/>
    </row>
    <row r="154" spans="1:27" s="320" customFormat="1" ht="15" customHeight="1" x14ac:dyDescent="0.25">
      <c r="A154" s="466">
        <v>23211</v>
      </c>
      <c r="B154" s="303" t="s">
        <v>822</v>
      </c>
      <c r="C154" s="343"/>
      <c r="D154" s="343"/>
      <c r="E154" s="343"/>
      <c r="F154" s="343"/>
      <c r="G154" s="343"/>
      <c r="H154" s="343"/>
      <c r="I154" s="343"/>
      <c r="J154" s="343"/>
      <c r="K154" s="343"/>
      <c r="L154" s="343"/>
      <c r="M154" s="343"/>
      <c r="N154" s="343"/>
      <c r="O154" s="343"/>
      <c r="P154" s="343"/>
      <c r="Q154" s="343"/>
      <c r="R154" s="343"/>
      <c r="S154" s="343"/>
      <c r="T154" s="343"/>
      <c r="U154" s="343"/>
      <c r="V154" s="343"/>
      <c r="W154" s="343"/>
      <c r="X154" s="343"/>
      <c r="Y154" s="343"/>
      <c r="Z154" s="343"/>
      <c r="AA154" s="343"/>
    </row>
    <row r="155" spans="1:27" s="320" customFormat="1" ht="15" customHeight="1" x14ac:dyDescent="0.25">
      <c r="A155" s="466">
        <v>23212</v>
      </c>
      <c r="B155" s="303" t="s">
        <v>819</v>
      </c>
      <c r="C155" s="343"/>
      <c r="D155" s="343"/>
      <c r="E155" s="343"/>
      <c r="F155" s="343"/>
      <c r="G155" s="343"/>
      <c r="H155" s="343"/>
      <c r="I155" s="343"/>
      <c r="J155" s="343"/>
      <c r="K155" s="343"/>
      <c r="L155" s="343"/>
      <c r="M155" s="343"/>
      <c r="N155" s="343"/>
      <c r="O155" s="343"/>
      <c r="P155" s="343"/>
      <c r="Q155" s="343"/>
      <c r="R155" s="343"/>
      <c r="S155" s="343"/>
      <c r="T155" s="343"/>
      <c r="U155" s="343"/>
      <c r="V155" s="343"/>
      <c r="W155" s="343"/>
      <c r="X155" s="343"/>
      <c r="Y155" s="343"/>
      <c r="Z155" s="343"/>
      <c r="AA155" s="343"/>
    </row>
    <row r="156" spans="1:27" s="320" customFormat="1" ht="15" customHeight="1" x14ac:dyDescent="0.25">
      <c r="A156" s="466">
        <v>23213</v>
      </c>
      <c r="B156" s="303" t="s">
        <v>846</v>
      </c>
      <c r="C156" s="343"/>
      <c r="D156" s="343"/>
      <c r="E156" s="343"/>
      <c r="F156" s="343"/>
      <c r="G156" s="343"/>
      <c r="H156" s="343"/>
      <c r="I156" s="343"/>
      <c r="J156" s="343"/>
      <c r="K156" s="343"/>
      <c r="L156" s="343"/>
      <c r="M156" s="343"/>
      <c r="N156" s="343"/>
      <c r="O156" s="343"/>
      <c r="P156" s="343"/>
      <c r="Q156" s="343"/>
      <c r="R156" s="343"/>
      <c r="S156" s="343"/>
      <c r="T156" s="343"/>
      <c r="U156" s="343"/>
      <c r="V156" s="343"/>
      <c r="W156" s="343"/>
      <c r="X156" s="343"/>
      <c r="Y156" s="343"/>
      <c r="Z156" s="343"/>
      <c r="AA156" s="343"/>
    </row>
    <row r="157" spans="1:27" s="320" customFormat="1" ht="15" customHeight="1" x14ac:dyDescent="0.25">
      <c r="A157" s="467">
        <v>23214</v>
      </c>
      <c r="B157" s="302" t="s">
        <v>821</v>
      </c>
      <c r="C157" s="343"/>
      <c r="D157" s="343"/>
      <c r="E157" s="343"/>
      <c r="F157" s="343"/>
      <c r="G157" s="343"/>
      <c r="H157" s="343"/>
      <c r="I157" s="343"/>
      <c r="J157" s="343"/>
      <c r="K157" s="343"/>
      <c r="L157" s="343"/>
      <c r="M157" s="343"/>
      <c r="N157" s="343"/>
      <c r="O157" s="343"/>
      <c r="P157" s="343"/>
      <c r="Q157" s="343"/>
      <c r="R157" s="343"/>
      <c r="S157" s="343"/>
      <c r="T157" s="343"/>
      <c r="U157" s="343"/>
      <c r="V157" s="343"/>
      <c r="W157" s="343"/>
      <c r="X157" s="343"/>
      <c r="Y157" s="343"/>
      <c r="Z157" s="343"/>
      <c r="AA157" s="343"/>
    </row>
    <row r="158" spans="1:27" s="320" customFormat="1" ht="15" customHeight="1" x14ac:dyDescent="0.25">
      <c r="A158" s="466">
        <v>23121</v>
      </c>
      <c r="B158" s="303" t="s">
        <v>824</v>
      </c>
      <c r="C158" s="343"/>
      <c r="D158" s="343"/>
      <c r="E158" s="343"/>
      <c r="F158" s="343"/>
      <c r="G158" s="343"/>
      <c r="H158" s="343"/>
      <c r="I158" s="343"/>
      <c r="J158" s="343"/>
      <c r="K158" s="343"/>
      <c r="L158" s="343"/>
      <c r="M158" s="343"/>
      <c r="N158" s="343"/>
      <c r="O158" s="343"/>
      <c r="P158" s="343"/>
      <c r="Q158" s="343"/>
      <c r="R158" s="343"/>
      <c r="S158" s="343"/>
      <c r="T158" s="343"/>
      <c r="U158" s="343"/>
      <c r="V158" s="343"/>
      <c r="W158" s="343"/>
      <c r="X158" s="343"/>
      <c r="Y158" s="343"/>
      <c r="Z158" s="343"/>
      <c r="AA158" s="343"/>
    </row>
    <row r="159" spans="1:27" s="320" customFormat="1" ht="15" customHeight="1" x14ac:dyDescent="0.25">
      <c r="A159" s="466">
        <v>23122</v>
      </c>
      <c r="B159" s="303" t="s">
        <v>825</v>
      </c>
      <c r="C159" s="343"/>
      <c r="D159" s="34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row>
    <row r="160" spans="1:27" s="320" customFormat="1" ht="15" customHeight="1" x14ac:dyDescent="0.25">
      <c r="A160" s="466">
        <v>23123</v>
      </c>
      <c r="B160" s="303" t="s">
        <v>847</v>
      </c>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row>
    <row r="161" spans="1:27" s="320" customFormat="1" ht="15" customHeight="1" x14ac:dyDescent="0.25">
      <c r="A161" s="467">
        <v>23124</v>
      </c>
      <c r="B161" s="302" t="s">
        <v>821</v>
      </c>
      <c r="C161" s="343"/>
      <c r="D161" s="343"/>
      <c r="E161" s="343"/>
      <c r="F161" s="343"/>
      <c r="G161" s="343"/>
      <c r="H161" s="343"/>
      <c r="I161" s="343"/>
      <c r="J161" s="343"/>
      <c r="K161" s="343"/>
      <c r="L161" s="343"/>
      <c r="M161" s="343"/>
      <c r="N161" s="343"/>
      <c r="O161" s="343"/>
      <c r="P161" s="343"/>
      <c r="Q161" s="343"/>
      <c r="R161" s="343"/>
      <c r="S161" s="343"/>
      <c r="T161" s="343"/>
      <c r="U161" s="343"/>
      <c r="V161" s="343"/>
      <c r="W161" s="343"/>
      <c r="X161" s="343"/>
      <c r="Y161" s="343"/>
      <c r="Z161" s="343"/>
      <c r="AA161" s="343"/>
    </row>
    <row r="162" spans="1:27" s="320" customFormat="1" ht="15" customHeight="1" x14ac:dyDescent="0.25">
      <c r="A162" s="466">
        <v>23221</v>
      </c>
      <c r="B162" s="303" t="s">
        <v>822</v>
      </c>
      <c r="C162" s="343"/>
      <c r="D162" s="343"/>
      <c r="E162" s="343"/>
      <c r="F162" s="343"/>
      <c r="G162" s="343"/>
      <c r="H162" s="343"/>
      <c r="I162" s="343"/>
      <c r="J162" s="343"/>
      <c r="K162" s="343"/>
      <c r="L162" s="343"/>
      <c r="M162" s="343"/>
      <c r="N162" s="343"/>
      <c r="O162" s="343"/>
      <c r="P162" s="343"/>
      <c r="Q162" s="343"/>
      <c r="R162" s="343"/>
      <c r="S162" s="343"/>
      <c r="T162" s="343"/>
      <c r="U162" s="343"/>
      <c r="V162" s="343"/>
      <c r="W162" s="343"/>
      <c r="X162" s="343"/>
      <c r="Y162" s="343"/>
      <c r="Z162" s="343"/>
      <c r="AA162" s="343"/>
    </row>
    <row r="163" spans="1:27" s="320" customFormat="1" ht="15" customHeight="1" x14ac:dyDescent="0.25">
      <c r="A163" s="466">
        <v>23222</v>
      </c>
      <c r="B163" s="303" t="s">
        <v>827</v>
      </c>
      <c r="C163" s="343"/>
      <c r="D163" s="34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row>
    <row r="164" spans="1:27" s="320" customFormat="1" ht="15" customHeight="1" x14ac:dyDescent="0.25">
      <c r="A164" s="466">
        <v>23223</v>
      </c>
      <c r="B164" s="303" t="s">
        <v>848</v>
      </c>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c r="Y164" s="343"/>
      <c r="Z164" s="343"/>
      <c r="AA164" s="343"/>
    </row>
    <row r="165" spans="1:27" s="320" customFormat="1" ht="15" customHeight="1" x14ac:dyDescent="0.25">
      <c r="A165" s="467">
        <v>23224</v>
      </c>
      <c r="B165" s="302" t="s">
        <v>821</v>
      </c>
      <c r="C165" s="343"/>
      <c r="D165" s="343"/>
      <c r="E165" s="343"/>
      <c r="F165" s="343"/>
      <c r="G165" s="343"/>
      <c r="H165" s="343"/>
      <c r="I165" s="343"/>
      <c r="J165" s="343"/>
      <c r="K165" s="343"/>
      <c r="L165" s="343"/>
      <c r="M165" s="343"/>
      <c r="N165" s="343"/>
      <c r="O165" s="343"/>
      <c r="P165" s="343"/>
      <c r="Q165" s="343"/>
      <c r="R165" s="343"/>
      <c r="S165" s="343"/>
      <c r="T165" s="343"/>
      <c r="U165" s="343"/>
      <c r="V165" s="343"/>
      <c r="W165" s="343"/>
      <c r="X165" s="343"/>
      <c r="Y165" s="343"/>
      <c r="Z165" s="343"/>
      <c r="AA165" s="343"/>
    </row>
    <row r="166" spans="1:27" s="320" customFormat="1" ht="15" customHeight="1" x14ac:dyDescent="0.25">
      <c r="A166" s="466">
        <v>24111</v>
      </c>
      <c r="B166" s="303" t="s">
        <v>829</v>
      </c>
      <c r="C166" s="343"/>
      <c r="D166" s="343"/>
      <c r="E166" s="343"/>
      <c r="F166" s="343"/>
      <c r="G166" s="343"/>
      <c r="H166" s="343"/>
      <c r="I166" s="343"/>
      <c r="J166" s="343"/>
      <c r="K166" s="343"/>
      <c r="L166" s="343"/>
      <c r="M166" s="343"/>
      <c r="N166" s="343"/>
      <c r="O166" s="343"/>
      <c r="P166" s="343"/>
      <c r="Q166" s="343"/>
      <c r="R166" s="343"/>
      <c r="S166" s="343"/>
      <c r="T166" s="343"/>
      <c r="U166" s="343"/>
      <c r="V166" s="343"/>
      <c r="W166" s="343"/>
      <c r="X166" s="343"/>
      <c r="Y166" s="343"/>
      <c r="Z166" s="343"/>
      <c r="AA166" s="343"/>
    </row>
    <row r="167" spans="1:27" s="320" customFormat="1" ht="15" customHeight="1" x14ac:dyDescent="0.25">
      <c r="A167" s="466">
        <v>24112</v>
      </c>
      <c r="B167" s="303" t="s">
        <v>830</v>
      </c>
      <c r="C167" s="343"/>
      <c r="D167" s="343"/>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row>
    <row r="168" spans="1:27" s="320" customFormat="1" ht="15" customHeight="1" x14ac:dyDescent="0.25">
      <c r="A168" s="466">
        <v>24113</v>
      </c>
      <c r="B168" s="303" t="s">
        <v>831</v>
      </c>
      <c r="C168" s="343"/>
      <c r="D168" s="343"/>
      <c r="E168" s="343"/>
      <c r="F168" s="343"/>
      <c r="G168" s="343"/>
      <c r="H168" s="343"/>
      <c r="I168" s="343"/>
      <c r="J168" s="343"/>
      <c r="K168" s="343"/>
      <c r="L168" s="343"/>
      <c r="M168" s="343"/>
      <c r="N168" s="343"/>
      <c r="O168" s="343"/>
      <c r="P168" s="343"/>
      <c r="Q168" s="343"/>
      <c r="R168" s="343"/>
      <c r="S168" s="343"/>
      <c r="T168" s="343"/>
      <c r="U168" s="343"/>
      <c r="V168" s="343"/>
      <c r="W168" s="343"/>
      <c r="X168" s="343"/>
      <c r="Y168" s="343"/>
      <c r="Z168" s="343"/>
      <c r="AA168" s="343"/>
    </row>
    <row r="169" spans="1:27" s="320" customFormat="1" ht="15" customHeight="1" x14ac:dyDescent="0.25">
      <c r="A169" s="467">
        <v>24114</v>
      </c>
      <c r="B169" s="302" t="s">
        <v>832</v>
      </c>
      <c r="C169" s="343"/>
      <c r="D169" s="343"/>
      <c r="E169" s="343"/>
      <c r="F169" s="343"/>
      <c r="G169" s="343"/>
      <c r="H169" s="343"/>
      <c r="I169" s="343"/>
      <c r="J169" s="343"/>
      <c r="K169" s="343"/>
      <c r="L169" s="343"/>
      <c r="M169" s="343"/>
      <c r="N169" s="343"/>
      <c r="O169" s="343"/>
      <c r="P169" s="343"/>
      <c r="Q169" s="343"/>
      <c r="R169" s="343"/>
      <c r="S169" s="343"/>
      <c r="T169" s="343"/>
      <c r="U169" s="343"/>
      <c r="V169" s="343"/>
      <c r="W169" s="343"/>
      <c r="X169" s="343"/>
      <c r="Y169" s="343"/>
      <c r="Z169" s="343"/>
      <c r="AA169" s="343"/>
    </row>
    <row r="170" spans="1:27" s="320" customFormat="1" ht="15" customHeight="1" x14ac:dyDescent="0.25">
      <c r="A170" s="466">
        <v>24121</v>
      </c>
      <c r="B170" s="303" t="s">
        <v>833</v>
      </c>
      <c r="C170" s="343"/>
      <c r="D170" s="343"/>
      <c r="E170" s="343"/>
      <c r="F170" s="343"/>
      <c r="G170" s="343"/>
      <c r="H170" s="343"/>
      <c r="I170" s="343"/>
      <c r="J170" s="343"/>
      <c r="K170" s="343"/>
      <c r="L170" s="343"/>
      <c r="M170" s="343"/>
      <c r="N170" s="343"/>
      <c r="O170" s="343"/>
      <c r="P170" s="343"/>
      <c r="Q170" s="343"/>
      <c r="R170" s="343"/>
      <c r="S170" s="343"/>
      <c r="T170" s="343"/>
      <c r="U170" s="343"/>
      <c r="V170" s="343"/>
      <c r="W170" s="343"/>
      <c r="X170" s="343"/>
      <c r="Y170" s="343"/>
      <c r="Z170" s="343"/>
      <c r="AA170" s="343"/>
    </row>
    <row r="171" spans="1:27" s="320" customFormat="1" ht="15" customHeight="1" x14ac:dyDescent="0.25">
      <c r="A171" s="466">
        <v>24122</v>
      </c>
      <c r="B171" s="303" t="s">
        <v>830</v>
      </c>
      <c r="C171" s="343"/>
      <c r="D171" s="343"/>
      <c r="E171" s="343"/>
      <c r="F171" s="343"/>
      <c r="G171" s="343"/>
      <c r="H171" s="343"/>
      <c r="I171" s="343"/>
      <c r="J171" s="343"/>
      <c r="K171" s="343"/>
      <c r="L171" s="343"/>
      <c r="M171" s="343"/>
      <c r="N171" s="343"/>
      <c r="O171" s="343"/>
      <c r="P171" s="343"/>
      <c r="Q171" s="343"/>
      <c r="R171" s="343"/>
      <c r="S171" s="343"/>
      <c r="T171" s="343"/>
      <c r="U171" s="343"/>
      <c r="V171" s="343"/>
      <c r="W171" s="343"/>
      <c r="X171" s="343"/>
      <c r="Y171" s="343"/>
      <c r="Z171" s="343"/>
      <c r="AA171" s="343"/>
    </row>
    <row r="172" spans="1:27" s="320" customFormat="1" ht="15" customHeight="1" x14ac:dyDescent="0.25">
      <c r="A172" s="466">
        <v>24123</v>
      </c>
      <c r="B172" s="303" t="s">
        <v>834</v>
      </c>
      <c r="C172" s="343"/>
      <c r="D172" s="343"/>
      <c r="E172" s="343"/>
      <c r="F172" s="343"/>
      <c r="G172" s="343"/>
      <c r="H172" s="343"/>
      <c r="I172" s="343"/>
      <c r="J172" s="343"/>
      <c r="K172" s="343"/>
      <c r="L172" s="343"/>
      <c r="M172" s="343"/>
      <c r="N172" s="343"/>
      <c r="O172" s="343"/>
      <c r="P172" s="343"/>
      <c r="Q172" s="343"/>
      <c r="R172" s="343"/>
      <c r="S172" s="343"/>
      <c r="T172" s="343"/>
      <c r="U172" s="343"/>
      <c r="V172" s="343"/>
      <c r="W172" s="343"/>
      <c r="X172" s="343"/>
      <c r="Y172" s="343"/>
      <c r="Z172" s="343"/>
      <c r="AA172" s="343"/>
    </row>
    <row r="173" spans="1:27" s="320" customFormat="1" ht="15" customHeight="1" x14ac:dyDescent="0.25">
      <c r="A173" s="467">
        <v>24124</v>
      </c>
      <c r="B173" s="302" t="s">
        <v>832</v>
      </c>
      <c r="C173" s="343"/>
      <c r="D173" s="343"/>
      <c r="E173" s="343"/>
      <c r="F173" s="343"/>
      <c r="G173" s="343"/>
      <c r="H173" s="343"/>
      <c r="I173" s="343"/>
      <c r="J173" s="343"/>
      <c r="K173" s="343"/>
      <c r="L173" s="343"/>
      <c r="M173" s="343"/>
      <c r="N173" s="343"/>
      <c r="O173" s="343"/>
      <c r="P173" s="343"/>
      <c r="Q173" s="343"/>
      <c r="R173" s="343"/>
      <c r="S173" s="343"/>
      <c r="T173" s="343"/>
      <c r="U173" s="343"/>
      <c r="V173" s="343"/>
      <c r="W173" s="343"/>
      <c r="X173" s="343"/>
      <c r="Y173" s="343"/>
      <c r="Z173" s="343"/>
      <c r="AA173" s="343"/>
    </row>
    <row r="174" spans="1:27" s="320" customFormat="1" ht="15" customHeight="1" x14ac:dyDescent="0.25">
      <c r="A174" s="466">
        <v>24211</v>
      </c>
      <c r="B174" s="303" t="s">
        <v>835</v>
      </c>
      <c r="C174" s="343"/>
      <c r="D174" s="343"/>
      <c r="E174" s="343"/>
      <c r="F174" s="343"/>
      <c r="G174" s="343"/>
      <c r="H174" s="343"/>
      <c r="I174" s="343"/>
      <c r="J174" s="343"/>
      <c r="K174" s="343"/>
      <c r="L174" s="343"/>
      <c r="M174" s="343"/>
      <c r="N174" s="343"/>
      <c r="O174" s="343"/>
      <c r="P174" s="343"/>
      <c r="Q174" s="343"/>
      <c r="R174" s="343"/>
      <c r="S174" s="343"/>
      <c r="T174" s="343"/>
      <c r="U174" s="343"/>
      <c r="V174" s="343"/>
      <c r="W174" s="343"/>
      <c r="X174" s="343"/>
      <c r="Y174" s="343"/>
      <c r="Z174" s="343"/>
      <c r="AA174" s="343"/>
    </row>
    <row r="175" spans="1:27" s="320" customFormat="1" ht="15" customHeight="1" x14ac:dyDescent="0.25">
      <c r="A175" s="466">
        <v>24212</v>
      </c>
      <c r="B175" s="303" t="s">
        <v>836</v>
      </c>
      <c r="C175" s="343"/>
      <c r="D175" s="343"/>
      <c r="E175" s="343"/>
      <c r="F175" s="343"/>
      <c r="G175" s="343"/>
      <c r="H175" s="343"/>
      <c r="I175" s="343"/>
      <c r="J175" s="343"/>
      <c r="K175" s="343"/>
      <c r="L175" s="343"/>
      <c r="M175" s="343"/>
      <c r="N175" s="343"/>
      <c r="O175" s="343"/>
      <c r="P175" s="343"/>
      <c r="Q175" s="343"/>
      <c r="R175" s="343"/>
      <c r="S175" s="343"/>
      <c r="T175" s="343"/>
      <c r="U175" s="343"/>
      <c r="V175" s="343"/>
      <c r="W175" s="343"/>
      <c r="X175" s="343"/>
      <c r="Y175" s="343"/>
      <c r="Z175" s="343"/>
      <c r="AA175" s="343"/>
    </row>
    <row r="176" spans="1:27" s="320" customFormat="1" ht="15" customHeight="1" x14ac:dyDescent="0.25">
      <c r="A176" s="466">
        <v>24213</v>
      </c>
      <c r="B176" s="303" t="s">
        <v>834</v>
      </c>
      <c r="C176" s="343"/>
      <c r="D176" s="343"/>
      <c r="E176" s="343"/>
      <c r="F176" s="343"/>
      <c r="G176" s="343"/>
      <c r="H176" s="343"/>
      <c r="I176" s="343"/>
      <c r="J176" s="343"/>
      <c r="K176" s="343"/>
      <c r="L176" s="343"/>
      <c r="M176" s="343"/>
      <c r="N176" s="343"/>
      <c r="O176" s="343"/>
      <c r="P176" s="343"/>
      <c r="Q176" s="343"/>
      <c r="R176" s="343"/>
      <c r="S176" s="343"/>
      <c r="T176" s="343"/>
      <c r="U176" s="343"/>
      <c r="V176" s="343"/>
      <c r="W176" s="343"/>
      <c r="X176" s="343"/>
      <c r="Y176" s="343"/>
      <c r="Z176" s="343"/>
      <c r="AA176" s="343"/>
    </row>
    <row r="177" spans="1:27" s="320" customFormat="1" ht="15" customHeight="1" x14ac:dyDescent="0.25">
      <c r="A177" s="467">
        <v>24214</v>
      </c>
      <c r="B177" s="302" t="s">
        <v>837</v>
      </c>
      <c r="C177" s="343"/>
      <c r="D177" s="343"/>
      <c r="E177" s="343"/>
      <c r="F177" s="343"/>
      <c r="G177" s="343"/>
      <c r="H177" s="343"/>
      <c r="I177" s="343"/>
      <c r="J177" s="343"/>
      <c r="K177" s="343"/>
      <c r="L177" s="343"/>
      <c r="M177" s="343"/>
      <c r="N177" s="343"/>
      <c r="O177" s="343"/>
      <c r="P177" s="343"/>
      <c r="Q177" s="343"/>
      <c r="R177" s="343"/>
      <c r="S177" s="343"/>
      <c r="T177" s="343"/>
      <c r="U177" s="343"/>
      <c r="V177" s="343"/>
      <c r="W177" s="343"/>
      <c r="X177" s="343"/>
      <c r="Y177" s="343"/>
      <c r="Z177" s="343"/>
      <c r="AA177" s="343"/>
    </row>
    <row r="178" spans="1:27" s="320" customFormat="1" ht="15" customHeight="1" x14ac:dyDescent="0.25">
      <c r="A178" s="466">
        <v>24221</v>
      </c>
      <c r="B178" s="303" t="s">
        <v>835</v>
      </c>
      <c r="C178" s="343"/>
      <c r="D178" s="343"/>
      <c r="E178" s="343"/>
      <c r="F178" s="343"/>
      <c r="G178" s="343"/>
      <c r="H178" s="343"/>
      <c r="I178" s="343"/>
      <c r="J178" s="343"/>
      <c r="K178" s="343"/>
      <c r="L178" s="343"/>
      <c r="M178" s="343"/>
      <c r="N178" s="343"/>
      <c r="O178" s="343"/>
      <c r="P178" s="343"/>
      <c r="Q178" s="343"/>
      <c r="R178" s="343"/>
      <c r="S178" s="343"/>
      <c r="T178" s="343"/>
      <c r="U178" s="343"/>
      <c r="V178" s="343"/>
      <c r="W178" s="343"/>
      <c r="X178" s="343"/>
      <c r="Y178" s="343"/>
      <c r="Z178" s="343"/>
      <c r="AA178" s="343"/>
    </row>
    <row r="179" spans="1:27" s="320" customFormat="1" ht="15" customHeight="1" x14ac:dyDescent="0.25">
      <c r="A179" s="466">
        <v>24222</v>
      </c>
      <c r="B179" s="303" t="s">
        <v>836</v>
      </c>
      <c r="C179" s="343"/>
      <c r="D179" s="343"/>
      <c r="E179" s="343"/>
      <c r="F179" s="343"/>
      <c r="G179" s="343"/>
      <c r="H179" s="343"/>
      <c r="I179" s="343"/>
      <c r="J179" s="343"/>
      <c r="K179" s="343"/>
      <c r="L179" s="343"/>
      <c r="M179" s="343"/>
      <c r="N179" s="343"/>
      <c r="O179" s="343"/>
      <c r="P179" s="343"/>
      <c r="Q179" s="343"/>
      <c r="R179" s="343"/>
      <c r="S179" s="343"/>
      <c r="T179" s="343"/>
      <c r="U179" s="343"/>
      <c r="V179" s="343"/>
      <c r="W179" s="343"/>
      <c r="X179" s="343"/>
      <c r="Y179" s="343"/>
      <c r="Z179" s="343"/>
      <c r="AA179" s="343"/>
    </row>
    <row r="180" spans="1:27" s="320" customFormat="1" ht="15" customHeight="1" x14ac:dyDescent="0.25">
      <c r="A180" s="466">
        <v>24223</v>
      </c>
      <c r="B180" s="303" t="s">
        <v>834</v>
      </c>
      <c r="C180" s="343"/>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row>
    <row r="181" spans="1:27" s="320" customFormat="1" ht="15" customHeight="1" x14ac:dyDescent="0.25">
      <c r="A181" s="467">
        <v>24224</v>
      </c>
      <c r="B181" s="302" t="s">
        <v>837</v>
      </c>
      <c r="C181" s="343"/>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row>
    <row r="182" spans="1:27" ht="27" customHeight="1" x14ac:dyDescent="0.25">
      <c r="A182" s="462"/>
      <c r="B182" s="343"/>
      <c r="C182" s="343"/>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row>
    <row r="183" spans="1:27" x14ac:dyDescent="0.25">
      <c r="A183" s="462"/>
      <c r="B183" s="468" t="s">
        <v>849</v>
      </c>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row>
    <row r="184" spans="1:27" ht="39.6" x14ac:dyDescent="0.25">
      <c r="A184" s="462" t="s">
        <v>850</v>
      </c>
      <c r="B184" s="715" t="s">
        <v>851</v>
      </c>
      <c r="C184" s="694"/>
      <c r="D184" s="694"/>
      <c r="E184" s="694"/>
      <c r="F184" s="694"/>
      <c r="G184" s="694"/>
      <c r="H184" s="694"/>
      <c r="I184" s="694"/>
      <c r="J184" s="694"/>
      <c r="K184" s="694"/>
      <c r="L184" s="694"/>
      <c r="M184" s="694"/>
      <c r="N184" s="694"/>
      <c r="O184" s="694"/>
      <c r="P184" s="694"/>
      <c r="Q184" s="694"/>
      <c r="R184" s="694"/>
      <c r="S184" s="694"/>
      <c r="T184" s="694"/>
      <c r="U184" s="694"/>
      <c r="V184" s="694"/>
      <c r="W184" s="694"/>
      <c r="X184" s="694"/>
      <c r="Y184" s="694"/>
      <c r="Z184" s="694"/>
      <c r="AA184" s="694"/>
    </row>
    <row r="185" spans="1:27" ht="39.6" x14ac:dyDescent="0.25">
      <c r="A185" s="462" t="s">
        <v>852</v>
      </c>
      <c r="B185" s="715" t="s">
        <v>853</v>
      </c>
      <c r="C185" s="694"/>
      <c r="D185" s="694"/>
      <c r="E185" s="694"/>
      <c r="F185" s="694"/>
      <c r="G185" s="694"/>
      <c r="H185" s="694"/>
      <c r="I185" s="694"/>
      <c r="J185" s="694"/>
      <c r="K185" s="694"/>
      <c r="L185" s="694"/>
      <c r="M185" s="694"/>
      <c r="N185" s="694"/>
      <c r="O185" s="694"/>
      <c r="P185" s="694"/>
      <c r="Q185" s="694"/>
      <c r="R185" s="694"/>
      <c r="S185" s="694"/>
      <c r="T185" s="694"/>
      <c r="U185" s="694"/>
      <c r="V185" s="694"/>
      <c r="W185" s="694"/>
      <c r="X185" s="694"/>
      <c r="Y185" s="694"/>
      <c r="Z185" s="694"/>
      <c r="AA185" s="694"/>
    </row>
    <row r="186" spans="1:27" ht="39.6" x14ac:dyDescent="0.25">
      <c r="A186" s="462" t="s">
        <v>854</v>
      </c>
      <c r="B186" s="715" t="s">
        <v>855</v>
      </c>
      <c r="C186" s="694"/>
      <c r="D186" s="694"/>
      <c r="E186" s="694"/>
      <c r="F186" s="694"/>
      <c r="G186" s="694"/>
      <c r="H186" s="694"/>
      <c r="I186" s="694"/>
      <c r="J186" s="694"/>
      <c r="K186" s="694"/>
      <c r="L186" s="694"/>
      <c r="M186" s="694"/>
      <c r="N186" s="694"/>
      <c r="O186" s="694"/>
      <c r="P186" s="694"/>
      <c r="Q186" s="694"/>
      <c r="R186" s="694"/>
      <c r="S186" s="694"/>
      <c r="T186" s="694"/>
      <c r="U186" s="694"/>
      <c r="V186" s="694"/>
      <c r="W186" s="694"/>
      <c r="X186" s="694"/>
      <c r="Y186" s="694"/>
      <c r="Z186" s="694"/>
      <c r="AA186" s="694"/>
    </row>
    <row r="187" spans="1:27" s="348" customFormat="1" x14ac:dyDescent="0.25">
      <c r="A187" s="462"/>
      <c r="B187" s="468" t="s">
        <v>856</v>
      </c>
      <c r="C187" s="694"/>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row>
    <row r="188" spans="1:27" s="348" customFormat="1" ht="39.6" x14ac:dyDescent="0.25">
      <c r="A188" s="462" t="s">
        <v>850</v>
      </c>
      <c r="B188" s="715" t="s">
        <v>857</v>
      </c>
      <c r="C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c r="AA188" s="694"/>
    </row>
    <row r="189" spans="1:27" s="348" customFormat="1" ht="39.6" x14ac:dyDescent="0.25">
      <c r="A189" s="462" t="s">
        <v>852</v>
      </c>
      <c r="B189" s="715" t="s">
        <v>858</v>
      </c>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row>
    <row r="190" spans="1:27" s="348" customFormat="1" ht="39.6" x14ac:dyDescent="0.25">
      <c r="A190" s="462" t="s">
        <v>854</v>
      </c>
      <c r="B190" s="715" t="s">
        <v>859</v>
      </c>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row>
    <row r="191" spans="1:27" x14ac:dyDescent="0.25">
      <c r="A191" s="462"/>
      <c r="B191" s="468" t="s">
        <v>860</v>
      </c>
      <c r="C191" s="694"/>
      <c r="D191" s="694"/>
      <c r="E191" s="694"/>
      <c r="F191" s="694"/>
      <c r="G191" s="694"/>
      <c r="H191" s="694"/>
      <c r="I191" s="694"/>
      <c r="J191" s="694"/>
      <c r="K191" s="694"/>
      <c r="L191" s="694"/>
      <c r="M191" s="694"/>
      <c r="N191" s="694"/>
      <c r="O191" s="694"/>
      <c r="P191" s="694"/>
      <c r="Q191" s="694"/>
      <c r="R191" s="694"/>
      <c r="S191" s="694"/>
      <c r="T191" s="694"/>
      <c r="U191" s="694"/>
      <c r="V191" s="694"/>
      <c r="W191" s="694"/>
      <c r="X191" s="694"/>
      <c r="Y191" s="694"/>
      <c r="Z191" s="694"/>
      <c r="AA191" s="694"/>
    </row>
    <row r="192" spans="1:27" ht="39.6" x14ac:dyDescent="0.25">
      <c r="A192" s="462" t="s">
        <v>850</v>
      </c>
      <c r="B192" s="715" t="s">
        <v>861</v>
      </c>
      <c r="C192" s="694"/>
      <c r="D192" s="694"/>
      <c r="E192" s="694"/>
      <c r="F192" s="694"/>
      <c r="G192" s="694"/>
      <c r="H192" s="694"/>
      <c r="I192" s="694"/>
      <c r="J192" s="694"/>
      <c r="K192" s="694"/>
      <c r="L192" s="694"/>
      <c r="M192" s="694"/>
      <c r="N192" s="694"/>
      <c r="O192" s="694"/>
      <c r="P192" s="694"/>
      <c r="Q192" s="694"/>
      <c r="R192" s="694"/>
      <c r="S192" s="694"/>
      <c r="T192" s="694"/>
      <c r="U192" s="694"/>
      <c r="V192" s="694"/>
      <c r="W192" s="694"/>
      <c r="X192" s="694"/>
      <c r="Y192" s="694"/>
      <c r="Z192" s="694"/>
      <c r="AA192" s="694"/>
    </row>
    <row r="193" spans="1:2" ht="39.6" x14ac:dyDescent="0.25">
      <c r="A193" s="462" t="s">
        <v>852</v>
      </c>
      <c r="B193" s="715" t="s">
        <v>862</v>
      </c>
    </row>
    <row r="194" spans="1:2" ht="39.6" x14ac:dyDescent="0.25">
      <c r="A194" s="462" t="s">
        <v>854</v>
      </c>
      <c r="B194" s="715" t="s">
        <v>863</v>
      </c>
    </row>
    <row r="195" spans="1:2" x14ac:dyDescent="0.25">
      <c r="A195" s="462"/>
      <c r="B195" s="468" t="s">
        <v>864</v>
      </c>
    </row>
    <row r="196" spans="1:2" ht="39.6" x14ac:dyDescent="0.25">
      <c r="A196" s="462" t="s">
        <v>850</v>
      </c>
      <c r="B196" s="715" t="s">
        <v>865</v>
      </c>
    </row>
    <row r="197" spans="1:2" ht="39.6" x14ac:dyDescent="0.25">
      <c r="A197" s="462" t="s">
        <v>852</v>
      </c>
      <c r="B197" s="715" t="s">
        <v>866</v>
      </c>
    </row>
    <row r="198" spans="1:2" ht="39.6" x14ac:dyDescent="0.25">
      <c r="A198" s="462" t="s">
        <v>854</v>
      </c>
      <c r="B198" s="715" t="s">
        <v>867</v>
      </c>
    </row>
    <row r="200" spans="1:2" x14ac:dyDescent="0.25">
      <c r="A200" s="690"/>
      <c r="B200" s="566" t="s">
        <v>868</v>
      </c>
    </row>
    <row r="201" spans="1:2" ht="39.6" x14ac:dyDescent="0.25">
      <c r="A201" s="567" t="s">
        <v>869</v>
      </c>
      <c r="B201" s="568" t="s">
        <v>870</v>
      </c>
    </row>
    <row r="202" spans="1:2" ht="26.4" x14ac:dyDescent="0.25">
      <c r="A202" s="567" t="s">
        <v>871</v>
      </c>
      <c r="B202" s="568" t="s">
        <v>872</v>
      </c>
    </row>
    <row r="203" spans="1:2" x14ac:dyDescent="0.25">
      <c r="A203" s="567" t="s">
        <v>873</v>
      </c>
      <c r="B203" s="568" t="s">
        <v>874</v>
      </c>
    </row>
  </sheetData>
  <sheetProtection algorithmName="SHA-512" hashValue="/I2zgk98DNhkIKsdwZixKH2QZZVsUj/leKBB4ro5G77y4vGuJM51uJjU+n1FOlFqbxim9cHVAsOIgaLUDSdnTA==" saltValue="rzeGEV2dIDdedFmcGm1oKA==" spinCount="100000" sheet="1" objects="1" scenarios="1"/>
  <phoneticPr fontId="0" type="noConversion"/>
  <pageMargins left="0.75" right="0.75" top="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K73"/>
  <sheetViews>
    <sheetView workbookViewId="0">
      <selection sqref="A1:C1"/>
    </sheetView>
  </sheetViews>
  <sheetFormatPr defaultColWidth="9.33203125" defaultRowHeight="13.2" x14ac:dyDescent="0.25"/>
  <cols>
    <col min="1" max="1" width="2.6640625" style="9" customWidth="1"/>
    <col min="2" max="2" width="12.5546875" style="9" bestFit="1" customWidth="1"/>
    <col min="3" max="3" width="13.33203125" style="9" customWidth="1"/>
    <col min="4" max="4" width="10.33203125" style="9" customWidth="1"/>
    <col min="5" max="5" width="13.33203125" style="9" customWidth="1"/>
    <col min="6" max="6" width="10.33203125" style="9" customWidth="1"/>
    <col min="7" max="7" width="13.6640625" style="9" customWidth="1"/>
    <col min="8" max="8" width="10.33203125" style="9" customWidth="1"/>
    <col min="9" max="9" width="13.33203125" style="9" customWidth="1"/>
    <col min="10" max="10" width="10.33203125" style="9" customWidth="1"/>
    <col min="11" max="16384" width="9.33203125" style="9"/>
  </cols>
  <sheetData>
    <row r="1" spans="2:11" ht="6.75" customHeight="1" thickBot="1" x14ac:dyDescent="0.3">
      <c r="B1" s="684"/>
      <c r="C1" s="684"/>
      <c r="D1" s="684"/>
      <c r="E1" s="684"/>
      <c r="F1" s="684"/>
      <c r="G1" s="684"/>
      <c r="H1" s="684"/>
      <c r="I1" s="684"/>
      <c r="J1" s="684"/>
      <c r="K1" s="684"/>
    </row>
    <row r="2" spans="2:11" ht="16.2" thickBot="1" x14ac:dyDescent="0.35">
      <c r="B2" s="1843" t="s">
        <v>875</v>
      </c>
      <c r="C2" s="1844"/>
      <c r="D2" s="1844"/>
      <c r="E2" s="1844"/>
      <c r="F2" s="1844"/>
      <c r="G2" s="1844"/>
      <c r="H2" s="1844"/>
      <c r="I2" s="1844"/>
      <c r="J2" s="1845"/>
      <c r="K2" s="10"/>
    </row>
    <row r="3" spans="2:11" x14ac:dyDescent="0.25">
      <c r="B3" s="1853" t="s">
        <v>876</v>
      </c>
      <c r="C3" s="1854"/>
      <c r="D3" s="1846" t="s">
        <v>877</v>
      </c>
      <c r="E3" s="1847"/>
      <c r="F3" s="1847"/>
      <c r="G3" s="1847"/>
      <c r="H3" s="1847"/>
      <c r="I3" s="1847"/>
      <c r="J3" s="1848"/>
      <c r="K3" s="11"/>
    </row>
    <row r="4" spans="2:11" x14ac:dyDescent="0.25">
      <c r="B4" s="732" t="s">
        <v>878</v>
      </c>
      <c r="C4" s="12" t="s">
        <v>879</v>
      </c>
      <c r="D4" s="1849"/>
      <c r="E4" s="863"/>
      <c r="F4" s="863"/>
      <c r="G4" s="863"/>
      <c r="H4" s="863"/>
      <c r="I4" s="863"/>
      <c r="J4" s="1850"/>
      <c r="K4" s="11"/>
    </row>
    <row r="5" spans="2:11" x14ac:dyDescent="0.25">
      <c r="B5" s="834">
        <v>37987</v>
      </c>
      <c r="C5" s="835">
        <v>38138</v>
      </c>
      <c r="D5" s="1851" t="s">
        <v>880</v>
      </c>
      <c r="E5" s="956"/>
      <c r="F5" s="956"/>
      <c r="G5" s="956"/>
      <c r="H5" s="873"/>
      <c r="I5" s="873"/>
      <c r="J5" s="1852"/>
      <c r="K5" s="11"/>
    </row>
    <row r="6" spans="2:11" x14ac:dyDescent="0.25">
      <c r="B6" s="834">
        <v>38139</v>
      </c>
      <c r="C6" s="835">
        <v>38231</v>
      </c>
      <c r="D6" s="1851" t="s">
        <v>881</v>
      </c>
      <c r="E6" s="873"/>
      <c r="F6" s="873"/>
      <c r="G6" s="873"/>
      <c r="H6" s="873"/>
      <c r="I6" s="873"/>
      <c r="J6" s="1852"/>
      <c r="K6" s="11"/>
    </row>
    <row r="7" spans="2:11" ht="13.8" thickBot="1" x14ac:dyDescent="0.3">
      <c r="B7" s="836">
        <v>38232</v>
      </c>
      <c r="C7" s="837">
        <v>38352</v>
      </c>
      <c r="D7" s="1839" t="s">
        <v>882</v>
      </c>
      <c r="E7" s="1840"/>
      <c r="F7" s="1840"/>
      <c r="G7" s="1840"/>
      <c r="H7" s="1841"/>
      <c r="I7" s="1841"/>
      <c r="J7" s="1842"/>
      <c r="K7" s="11"/>
    </row>
    <row r="8" spans="2:11" x14ac:dyDescent="0.25">
      <c r="B8" s="15"/>
      <c r="C8" s="1866" t="s">
        <v>883</v>
      </c>
      <c r="D8" s="1867"/>
      <c r="E8" s="1863" t="s">
        <v>884</v>
      </c>
      <c r="F8" s="1863"/>
      <c r="G8" s="1863" t="s">
        <v>885</v>
      </c>
      <c r="H8" s="1863"/>
      <c r="I8" s="1866" t="s">
        <v>886</v>
      </c>
      <c r="J8" s="1885"/>
      <c r="K8" s="684"/>
    </row>
    <row r="9" spans="2:11" x14ac:dyDescent="0.25">
      <c r="B9" s="838" t="s">
        <v>887</v>
      </c>
      <c r="C9" s="1871" t="s">
        <v>888</v>
      </c>
      <c r="D9" s="1886"/>
      <c r="E9" s="1887" t="s">
        <v>889</v>
      </c>
      <c r="F9" s="1888"/>
      <c r="G9" s="1887" t="s">
        <v>890</v>
      </c>
      <c r="H9" s="1887"/>
      <c r="I9" s="1884" t="s">
        <v>891</v>
      </c>
      <c r="J9" s="1854"/>
      <c r="K9" s="684"/>
    </row>
    <row r="10" spans="2:11" x14ac:dyDescent="0.25">
      <c r="B10" s="839" t="s">
        <v>892</v>
      </c>
      <c r="C10" s="729" t="s">
        <v>893</v>
      </c>
      <c r="D10" s="729" t="s">
        <v>894</v>
      </c>
      <c r="E10" s="840" t="s">
        <v>893</v>
      </c>
      <c r="F10" s="840" t="s">
        <v>894</v>
      </c>
      <c r="G10" s="840" t="s">
        <v>893</v>
      </c>
      <c r="H10" s="840" t="s">
        <v>894</v>
      </c>
      <c r="I10" s="841" t="s">
        <v>893</v>
      </c>
      <c r="J10" s="842" t="s">
        <v>894</v>
      </c>
      <c r="K10" s="684"/>
    </row>
    <row r="11" spans="2:11" x14ac:dyDescent="0.25">
      <c r="B11" s="838">
        <v>1</v>
      </c>
      <c r="C11" s="29">
        <v>38138</v>
      </c>
      <c r="D11" s="730">
        <v>18</v>
      </c>
      <c r="E11" s="29">
        <v>38017</v>
      </c>
      <c r="F11" s="730">
        <v>19</v>
      </c>
      <c r="G11" s="29">
        <f>E11</f>
        <v>38017</v>
      </c>
      <c r="H11" s="730">
        <v>19</v>
      </c>
      <c r="I11" s="32">
        <v>38017</v>
      </c>
      <c r="J11" s="21">
        <v>18</v>
      </c>
      <c r="K11" s="684"/>
    </row>
    <row r="12" spans="2:11" x14ac:dyDescent="0.25">
      <c r="B12" s="838">
        <v>2</v>
      </c>
      <c r="C12" s="29">
        <v>38138</v>
      </c>
      <c r="D12" s="730">
        <v>18</v>
      </c>
      <c r="E12" s="29">
        <v>38045</v>
      </c>
      <c r="F12" s="730">
        <v>19</v>
      </c>
      <c r="G12" s="29">
        <f t="shared" ref="G12:G22" si="0">E12</f>
        <v>38045</v>
      </c>
      <c r="H12" s="730">
        <v>19</v>
      </c>
      <c r="I12" s="29">
        <v>38045</v>
      </c>
      <c r="J12" s="22">
        <v>18</v>
      </c>
      <c r="K12" s="684"/>
    </row>
    <row r="13" spans="2:11" x14ac:dyDescent="0.25">
      <c r="B13" s="838">
        <v>3</v>
      </c>
      <c r="C13" s="29">
        <v>38138</v>
      </c>
      <c r="D13" s="730">
        <v>18</v>
      </c>
      <c r="E13" s="29">
        <v>38077</v>
      </c>
      <c r="F13" s="730">
        <v>19</v>
      </c>
      <c r="G13" s="29">
        <f t="shared" si="0"/>
        <v>38077</v>
      </c>
      <c r="H13" s="730">
        <v>19</v>
      </c>
      <c r="I13" s="29">
        <v>38077</v>
      </c>
      <c r="J13" s="22">
        <v>18</v>
      </c>
      <c r="K13" s="684"/>
    </row>
    <row r="14" spans="2:11" x14ac:dyDescent="0.25">
      <c r="B14" s="838">
        <v>4</v>
      </c>
      <c r="C14" s="29">
        <v>38138</v>
      </c>
      <c r="D14" s="730">
        <v>18</v>
      </c>
      <c r="E14" s="29">
        <v>38107</v>
      </c>
      <c r="F14" s="730">
        <v>19</v>
      </c>
      <c r="G14" s="29">
        <f t="shared" si="0"/>
        <v>38107</v>
      </c>
      <c r="H14" s="730">
        <v>19</v>
      </c>
      <c r="I14" s="29">
        <v>38107</v>
      </c>
      <c r="J14" s="22">
        <v>18</v>
      </c>
      <c r="K14" s="684"/>
    </row>
    <row r="15" spans="2:11" x14ac:dyDescent="0.25">
      <c r="B15" s="838">
        <v>5</v>
      </c>
      <c r="C15" s="29">
        <v>38138</v>
      </c>
      <c r="D15" s="730">
        <v>18</v>
      </c>
      <c r="E15" s="29">
        <v>38138</v>
      </c>
      <c r="F15" s="730">
        <v>19</v>
      </c>
      <c r="G15" s="29">
        <f t="shared" si="0"/>
        <v>38138</v>
      </c>
      <c r="H15" s="730">
        <v>19</v>
      </c>
      <c r="I15" s="29">
        <v>38138</v>
      </c>
      <c r="J15" s="22">
        <v>18</v>
      </c>
      <c r="K15" s="684"/>
    </row>
    <row r="16" spans="2:11" x14ac:dyDescent="0.25">
      <c r="B16" s="838">
        <v>6</v>
      </c>
      <c r="C16" s="29">
        <v>38168</v>
      </c>
      <c r="D16" s="730">
        <v>18</v>
      </c>
      <c r="E16" s="29">
        <v>38138</v>
      </c>
      <c r="F16" s="730">
        <v>19</v>
      </c>
      <c r="G16" s="29">
        <v>38168</v>
      </c>
      <c r="H16" s="730">
        <v>19</v>
      </c>
      <c r="I16" s="29">
        <v>38168</v>
      </c>
      <c r="J16" s="22">
        <v>18</v>
      </c>
      <c r="K16" s="684"/>
    </row>
    <row r="17" spans="2:11" x14ac:dyDescent="0.25">
      <c r="B17" s="838">
        <v>7</v>
      </c>
      <c r="C17" s="29">
        <v>38199</v>
      </c>
      <c r="D17" s="730">
        <v>18</v>
      </c>
      <c r="E17" s="29">
        <v>38138</v>
      </c>
      <c r="F17" s="730">
        <v>19</v>
      </c>
      <c r="G17" s="29">
        <v>38199</v>
      </c>
      <c r="H17" s="730">
        <v>19</v>
      </c>
      <c r="I17" s="29">
        <v>38199</v>
      </c>
      <c r="J17" s="22">
        <v>18</v>
      </c>
      <c r="K17" s="684"/>
    </row>
    <row r="18" spans="2:11" x14ac:dyDescent="0.25">
      <c r="B18" s="838">
        <v>8</v>
      </c>
      <c r="C18" s="29">
        <v>38230</v>
      </c>
      <c r="D18" s="730">
        <v>18</v>
      </c>
      <c r="E18" s="29">
        <v>38138</v>
      </c>
      <c r="F18" s="730">
        <v>19</v>
      </c>
      <c r="G18" s="29">
        <v>38230</v>
      </c>
      <c r="H18" s="730">
        <v>19</v>
      </c>
      <c r="I18" s="29">
        <v>38230</v>
      </c>
      <c r="J18" s="22">
        <v>18</v>
      </c>
      <c r="K18" s="684"/>
    </row>
    <row r="19" spans="2:11" x14ac:dyDescent="0.25">
      <c r="B19" s="838">
        <v>9</v>
      </c>
      <c r="C19" s="29" t="s">
        <v>895</v>
      </c>
      <c r="D19" s="730">
        <v>19</v>
      </c>
      <c r="E19" s="29">
        <v>38260</v>
      </c>
      <c r="F19" s="730">
        <v>19</v>
      </c>
      <c r="G19" s="29">
        <v>38260</v>
      </c>
      <c r="H19" s="730">
        <v>19</v>
      </c>
      <c r="I19" s="29">
        <v>38260</v>
      </c>
      <c r="J19" s="22">
        <v>18</v>
      </c>
      <c r="K19" s="684"/>
    </row>
    <row r="20" spans="2:11" x14ac:dyDescent="0.25">
      <c r="B20" s="838">
        <v>10</v>
      </c>
      <c r="C20" s="29">
        <v>38138</v>
      </c>
      <c r="D20" s="730">
        <v>19</v>
      </c>
      <c r="E20" s="29">
        <v>38291</v>
      </c>
      <c r="F20" s="730">
        <v>19</v>
      </c>
      <c r="G20" s="29">
        <f t="shared" si="0"/>
        <v>38291</v>
      </c>
      <c r="H20" s="730">
        <v>19</v>
      </c>
      <c r="I20" s="29">
        <v>38291</v>
      </c>
      <c r="J20" s="22">
        <v>18</v>
      </c>
      <c r="K20" s="684"/>
    </row>
    <row r="21" spans="2:11" x14ac:dyDescent="0.25">
      <c r="B21" s="838">
        <v>11</v>
      </c>
      <c r="C21" s="29">
        <v>38138</v>
      </c>
      <c r="D21" s="730">
        <v>19</v>
      </c>
      <c r="E21" s="29">
        <v>38321</v>
      </c>
      <c r="F21" s="730">
        <v>19</v>
      </c>
      <c r="G21" s="29">
        <f t="shared" si="0"/>
        <v>38321</v>
      </c>
      <c r="H21" s="730">
        <v>19</v>
      </c>
      <c r="I21" s="29">
        <v>38321</v>
      </c>
      <c r="J21" s="22">
        <v>18</v>
      </c>
      <c r="K21" s="684"/>
    </row>
    <row r="22" spans="2:11" ht="13.8" thickBot="1" x14ac:dyDescent="0.3">
      <c r="B22" s="843">
        <v>12</v>
      </c>
      <c r="C22" s="30">
        <v>38138</v>
      </c>
      <c r="D22" s="731">
        <v>19</v>
      </c>
      <c r="E22" s="30">
        <v>38352</v>
      </c>
      <c r="F22" s="731">
        <v>19</v>
      </c>
      <c r="G22" s="30">
        <f t="shared" si="0"/>
        <v>38352</v>
      </c>
      <c r="H22" s="731">
        <v>19</v>
      </c>
      <c r="I22" s="30">
        <v>38352</v>
      </c>
      <c r="J22" s="23">
        <v>18</v>
      </c>
      <c r="K22" s="684"/>
    </row>
    <row r="23" spans="2:11" ht="13.8" thickBot="1" x14ac:dyDescent="0.3">
      <c r="B23" s="27">
        <v>38231</v>
      </c>
      <c r="C23" s="36">
        <v>38260</v>
      </c>
      <c r="D23" s="37">
        <v>18</v>
      </c>
      <c r="E23" s="36">
        <v>38138</v>
      </c>
      <c r="F23" s="37">
        <v>19</v>
      </c>
      <c r="G23" s="36">
        <v>38260</v>
      </c>
      <c r="H23" s="37">
        <v>19</v>
      </c>
      <c r="I23" s="36">
        <v>38260</v>
      </c>
      <c r="J23" s="28">
        <v>18</v>
      </c>
      <c r="K23" s="684"/>
    </row>
    <row r="24" spans="2:11" ht="13.8" thickBot="1" x14ac:dyDescent="0.3">
      <c r="B24" s="20" t="s">
        <v>896</v>
      </c>
      <c r="C24" s="31" t="str">
        <f>IF(OR(AND(NOT(MONTH(MAX(Worksheet!M18:'Worksheet'!M23))=9),NOT(DAY(MAX(Worksheet!M18:'Worksheet'!M23))=1)),AND(NOT(ISNUMBER(Worksheet!M18)),NOT(ISNUMBER(Worksheet!M19)),NOT(ISNUMBER(Worksheet!M20)),NOT(ISNUMBER(Worksheet!M21)),NOT(ISNUMBER(Worksheet!M22)),NOT(ISNUMBER(Worksheet!M23)))),"",IF(OR(ISBLANK(Worksheet!X24),AND(MONTH(MAX(Worksheet!M18:'Worksheet'!M23))=9,DAY(MAX(Worksheet!M18:'Worksheet'!M23))=1,Worksheet!T45=Worksheet!X24)),C23,IF(AND(MONTH(MAX(Worksheet!M18:'Worksheet'!M23))=9,DAY(MAX(Worksheet!M18:'Worksheet'!M23))=1,Worksheet!T45-Worksheet!X24=1),E23,IF(AND(MONTH(MAX(Worksheet!M18:'Worksheet'!M23))=9,DAY(MAX(Worksheet!M18:'Worksheet'!M23))=1,Worksheet!T45-Worksheet!X24&gt;=2),G23,IF(AND(MONTH(MAX(Worksheet!M18:'Worksheet'!M23))=9,DAY(MAX(Worksheet!M18:'Worksheet'!M23))=1,Worksheet!T45-Worksheet!X24&lt;0),I23,"")))))</f>
        <v/>
      </c>
      <c r="D24" s="26" t="str">
        <f>IF(OR(AND(NOT(MONTH(MAX(Worksheet!M18:'Worksheet'!M23))=9),NOT(DAY(MAX(Worksheet!M18:'Worksheet'!M23))=1)),AND(NOT(ISNUMBER(Worksheet!M18)),NOT(ISNUMBER(Worksheet!M19)),NOT(ISNUMBER(Worksheet!M20)),NOT(ISNUMBER(Worksheet!M21)),NOT(ISNUMBER(Worksheet!M22)),NOT(ISNUMBER(Worksheet!M23)))),"",IF(OR(ISBLANK(Worksheet!X24),AND(MONTH(MAX(Worksheet!M18:'Worksheet'!M23))=9,DAY(MAX(Worksheet!M18:'Worksheet'!M23))=1,Worksheet!T45=Worksheet!X24)),D23,IF(AND(MONTH(MAX(Worksheet!M18:'Worksheet'!M23))=9,DAY(MAX(Worksheet!M18:'Worksheet'!M23))=1,Worksheet!T45-Worksheet!X24=1),F23,IF(AND(MONTH(MAX(Worksheet!M18:'Worksheet'!M23))=9,DAY(MAX(Worksheet!M18:'Worksheet'!M23))=1,Worksheet!T45-Worksheet!X24&gt;=2),H23,IF(AND(MONTH(MAX(Worksheet!M18:'Worksheet'!M23))=9,DAY(MAX(Worksheet!M18:'Worksheet'!M23))=1,Worksheet!T45-Worksheet!X24&lt;0),J23,"")))))</f>
        <v/>
      </c>
      <c r="E24" s="684"/>
      <c r="F24" s="684"/>
      <c r="G24" s="684"/>
      <c r="H24" s="684"/>
      <c r="I24" s="684"/>
      <c r="J24" s="684"/>
      <c r="K24" s="684"/>
    </row>
    <row r="25" spans="2:11" x14ac:dyDescent="0.25">
      <c r="B25" s="624"/>
      <c r="C25" s="34"/>
      <c r="D25" s="35"/>
      <c r="E25" s="684"/>
      <c r="F25" s="684"/>
      <c r="G25" s="684"/>
      <c r="H25" s="684"/>
      <c r="I25" s="684"/>
      <c r="J25" s="684"/>
      <c r="K25" s="684"/>
    </row>
    <row r="26" spans="2:11" ht="13.8" thickBot="1" x14ac:dyDescent="0.3">
      <c r="B26" s="624"/>
      <c r="C26" s="34"/>
      <c r="D26" s="35"/>
      <c r="E26" s="684"/>
      <c r="F26" s="684"/>
      <c r="G26" s="684"/>
      <c r="H26" s="684"/>
      <c r="I26" s="684"/>
      <c r="J26" s="684"/>
      <c r="K26" s="684"/>
    </row>
    <row r="27" spans="2:11" x14ac:dyDescent="0.25">
      <c r="B27" s="1855" t="s">
        <v>897</v>
      </c>
      <c r="C27" s="1856"/>
      <c r="D27" s="1856"/>
      <c r="E27" s="1856"/>
      <c r="F27" s="1856"/>
      <c r="G27" s="1857"/>
      <c r="H27" s="684"/>
      <c r="I27" s="684"/>
      <c r="J27" s="684"/>
      <c r="K27" s="684"/>
    </row>
    <row r="28" spans="2:11" ht="13.8" thickBot="1" x14ac:dyDescent="0.3">
      <c r="B28" s="1858"/>
      <c r="C28" s="1859"/>
      <c r="D28" s="1859"/>
      <c r="E28" s="1859"/>
      <c r="F28" s="1859"/>
      <c r="G28" s="1860"/>
      <c r="H28" s="844"/>
      <c r="I28" s="844"/>
      <c r="J28" s="845"/>
      <c r="K28" s="11"/>
    </row>
    <row r="29" spans="2:11" ht="13.8" thickBot="1" x14ac:dyDescent="0.3">
      <c r="B29" s="1861" t="s">
        <v>898</v>
      </c>
      <c r="C29" s="1862"/>
      <c r="D29" s="1872">
        <f>MAX(Worksheet!M18:'Worksheet'!M23)</f>
        <v>0</v>
      </c>
      <c r="E29" s="1873"/>
      <c r="F29" s="13"/>
      <c r="G29" s="13"/>
      <c r="H29" s="13"/>
      <c r="I29" s="14"/>
      <c r="J29" s="11"/>
      <c r="K29" s="11"/>
    </row>
    <row r="30" spans="2:11" x14ac:dyDescent="0.25">
      <c r="B30" s="15"/>
      <c r="C30" s="728"/>
      <c r="D30" s="1863" t="s">
        <v>899</v>
      </c>
      <c r="E30" s="1863"/>
      <c r="F30" s="1866" t="s">
        <v>900</v>
      </c>
      <c r="G30" s="1867"/>
      <c r="H30" s="24"/>
      <c r="I30" s="624"/>
      <c r="J30" s="624"/>
      <c r="K30" s="624"/>
    </row>
    <row r="31" spans="2:11" x14ac:dyDescent="0.25">
      <c r="B31" s="16"/>
      <c r="C31" s="730" t="s">
        <v>901</v>
      </c>
      <c r="D31" s="1865" t="s">
        <v>902</v>
      </c>
      <c r="E31" s="1865"/>
      <c r="F31" s="1868" t="s">
        <v>903</v>
      </c>
      <c r="G31" s="947"/>
      <c r="H31" s="24"/>
      <c r="I31" s="624"/>
      <c r="J31" s="624"/>
      <c r="K31" s="624"/>
    </row>
    <row r="32" spans="2:11" x14ac:dyDescent="0.25">
      <c r="B32" s="17" t="s">
        <v>904</v>
      </c>
      <c r="C32" s="729" t="s">
        <v>905</v>
      </c>
      <c r="D32" s="1871" t="s">
        <v>906</v>
      </c>
      <c r="E32" s="1871"/>
      <c r="F32" s="1869" t="s">
        <v>907</v>
      </c>
      <c r="G32" s="1870"/>
      <c r="H32" s="24"/>
      <c r="I32" s="624"/>
      <c r="J32" s="624"/>
      <c r="K32" s="624"/>
    </row>
    <row r="33" spans="2:11" x14ac:dyDescent="0.25">
      <c r="B33" s="16">
        <f>YEAR(D29)</f>
        <v>1900</v>
      </c>
      <c r="C33" s="730">
        <v>0</v>
      </c>
      <c r="D33" s="1864">
        <v>0</v>
      </c>
      <c r="E33" s="1864"/>
      <c r="F33" s="1874">
        <v>0</v>
      </c>
      <c r="G33" s="1875"/>
      <c r="H33" s="24"/>
      <c r="I33" s="684"/>
      <c r="J33" s="684"/>
      <c r="K33" s="18"/>
    </row>
    <row r="34" spans="2:11" x14ac:dyDescent="0.25">
      <c r="B34" s="16">
        <f>B33+1</f>
        <v>1901</v>
      </c>
      <c r="C34" s="730">
        <v>1</v>
      </c>
      <c r="D34" s="1865">
        <v>0</v>
      </c>
      <c r="E34" s="1865"/>
      <c r="F34" s="1868">
        <v>0</v>
      </c>
      <c r="G34" s="947"/>
      <c r="H34" s="24"/>
      <c r="I34" s="684"/>
      <c r="J34" s="684"/>
      <c r="K34" s="19"/>
    </row>
    <row r="35" spans="2:11" x14ac:dyDescent="0.25">
      <c r="B35" s="16">
        <f t="shared" ref="B35:B52" si="1">B34+1</f>
        <v>1902</v>
      </c>
      <c r="C35" s="730">
        <v>2</v>
      </c>
      <c r="D35" s="1865">
        <v>0</v>
      </c>
      <c r="E35" s="1865"/>
      <c r="F35" s="1868">
        <v>0</v>
      </c>
      <c r="G35" s="947"/>
      <c r="H35" s="24"/>
      <c r="I35" s="684"/>
      <c r="J35" s="684"/>
      <c r="K35" s="684"/>
    </row>
    <row r="36" spans="2:11" x14ac:dyDescent="0.25">
      <c r="B36" s="16">
        <f t="shared" si="1"/>
        <v>1903</v>
      </c>
      <c r="C36" s="730">
        <v>3</v>
      </c>
      <c r="D36" s="1865">
        <v>0</v>
      </c>
      <c r="E36" s="1865"/>
      <c r="F36" s="1868">
        <v>0</v>
      </c>
      <c r="G36" s="947"/>
      <c r="H36" s="24"/>
      <c r="I36" s="684"/>
      <c r="J36" s="684"/>
      <c r="K36" s="684"/>
    </row>
    <row r="37" spans="2:11" x14ac:dyDescent="0.25">
      <c r="B37" s="16">
        <f t="shared" si="1"/>
        <v>1904</v>
      </c>
      <c r="C37" s="730">
        <v>4</v>
      </c>
      <c r="D37" s="1865">
        <v>0</v>
      </c>
      <c r="E37" s="1865"/>
      <c r="F37" s="1868">
        <v>0</v>
      </c>
      <c r="G37" s="947"/>
      <c r="H37" s="24"/>
      <c r="I37" s="684"/>
      <c r="J37" s="684"/>
      <c r="K37" s="684"/>
    </row>
    <row r="38" spans="2:11" x14ac:dyDescent="0.25">
      <c r="B38" s="16">
        <f t="shared" si="1"/>
        <v>1905</v>
      </c>
      <c r="C38" s="730">
        <v>5</v>
      </c>
      <c r="D38" s="1865">
        <v>0</v>
      </c>
      <c r="E38" s="1865"/>
      <c r="F38" s="1868">
        <v>0</v>
      </c>
      <c r="G38" s="947"/>
      <c r="H38" s="24"/>
      <c r="I38" s="684"/>
      <c r="J38" s="684"/>
      <c r="K38" s="684"/>
    </row>
    <row r="39" spans="2:11" x14ac:dyDescent="0.25">
      <c r="B39" s="16">
        <f t="shared" si="1"/>
        <v>1906</v>
      </c>
      <c r="C39" s="730">
        <v>6</v>
      </c>
      <c r="D39" s="1865">
        <v>0</v>
      </c>
      <c r="E39" s="1865"/>
      <c r="F39" s="1868">
        <f>D40</f>
        <v>1</v>
      </c>
      <c r="G39" s="947"/>
      <c r="H39" s="24"/>
      <c r="I39" s="684"/>
      <c r="J39" s="684"/>
      <c r="K39" s="684"/>
    </row>
    <row r="40" spans="2:11" x14ac:dyDescent="0.25">
      <c r="B40" s="16">
        <f t="shared" si="1"/>
        <v>1907</v>
      </c>
      <c r="C40" s="730">
        <v>7</v>
      </c>
      <c r="D40" s="1865">
        <f>IF(OR(MONTH(D29)=1,MONTH(D29)=2,MONTH(D29)=3,MONTH(D29)=4,MONTH(D29)=5,MONTH(D29)=6,MONTH(D29)=7,MONTH(D29)=8,AND(MONTH(D29)=9,DAY(D29)=1)),1,0)</f>
        <v>1</v>
      </c>
      <c r="E40" s="1865"/>
      <c r="F40" s="1868">
        <f>D41</f>
        <v>2</v>
      </c>
      <c r="G40" s="947"/>
      <c r="H40" s="24"/>
      <c r="I40" s="684"/>
      <c r="J40" s="684"/>
      <c r="K40" s="684"/>
    </row>
    <row r="41" spans="2:11" x14ac:dyDescent="0.25">
      <c r="B41" s="16">
        <f t="shared" si="1"/>
        <v>1908</v>
      </c>
      <c r="C41" s="730">
        <v>8</v>
      </c>
      <c r="D41" s="1865">
        <f>IF(D40="Pre",1,D40+1)</f>
        <v>2</v>
      </c>
      <c r="E41" s="1865"/>
      <c r="F41" s="1868">
        <f t="shared" ref="F41:F50" si="2">F40+1</f>
        <v>3</v>
      </c>
      <c r="G41" s="947"/>
      <c r="H41" s="24"/>
      <c r="I41" s="684"/>
      <c r="J41" s="684"/>
      <c r="K41" s="684"/>
    </row>
    <row r="42" spans="2:11" x14ac:dyDescent="0.25">
      <c r="B42" s="16">
        <f t="shared" si="1"/>
        <v>1909</v>
      </c>
      <c r="C42" s="730">
        <v>9</v>
      </c>
      <c r="D42" s="1865">
        <f t="shared" ref="D42:D51" si="3">D41+1</f>
        <v>3</v>
      </c>
      <c r="E42" s="1865"/>
      <c r="F42" s="1868">
        <f t="shared" si="2"/>
        <v>4</v>
      </c>
      <c r="G42" s="947"/>
      <c r="H42" s="24"/>
      <c r="I42" s="684"/>
      <c r="J42" s="684"/>
      <c r="K42" s="684"/>
    </row>
    <row r="43" spans="2:11" x14ac:dyDescent="0.25">
      <c r="B43" s="16">
        <f t="shared" si="1"/>
        <v>1910</v>
      </c>
      <c r="C43" s="730">
        <v>10</v>
      </c>
      <c r="D43" s="1865">
        <f t="shared" si="3"/>
        <v>4</v>
      </c>
      <c r="E43" s="1865"/>
      <c r="F43" s="1868">
        <f t="shared" si="2"/>
        <v>5</v>
      </c>
      <c r="G43" s="947"/>
      <c r="H43" s="24"/>
      <c r="I43" s="684"/>
      <c r="J43" s="684"/>
      <c r="K43" s="684"/>
    </row>
    <row r="44" spans="2:11" x14ac:dyDescent="0.25">
      <c r="B44" s="16">
        <f t="shared" si="1"/>
        <v>1911</v>
      </c>
      <c r="C44" s="730">
        <v>11</v>
      </c>
      <c r="D44" s="1865">
        <f t="shared" si="3"/>
        <v>5</v>
      </c>
      <c r="E44" s="1865"/>
      <c r="F44" s="1868">
        <f t="shared" si="2"/>
        <v>6</v>
      </c>
      <c r="G44" s="947"/>
      <c r="H44" s="24"/>
      <c r="I44" s="684"/>
      <c r="J44" s="684"/>
      <c r="K44" s="684"/>
    </row>
    <row r="45" spans="2:11" x14ac:dyDescent="0.25">
      <c r="B45" s="16">
        <f t="shared" si="1"/>
        <v>1912</v>
      </c>
      <c r="C45" s="730">
        <v>12</v>
      </c>
      <c r="D45" s="1865">
        <f t="shared" si="3"/>
        <v>6</v>
      </c>
      <c r="E45" s="1865"/>
      <c r="F45" s="1868">
        <f t="shared" si="2"/>
        <v>7</v>
      </c>
      <c r="G45" s="947"/>
      <c r="H45" s="24"/>
      <c r="I45" s="684"/>
      <c r="J45" s="684"/>
      <c r="K45" s="684"/>
    </row>
    <row r="46" spans="2:11" x14ac:dyDescent="0.25">
      <c r="B46" s="16">
        <f t="shared" si="1"/>
        <v>1913</v>
      </c>
      <c r="C46" s="730">
        <v>13</v>
      </c>
      <c r="D46" s="1865">
        <f t="shared" si="3"/>
        <v>7</v>
      </c>
      <c r="E46" s="1865"/>
      <c r="F46" s="1868">
        <f t="shared" si="2"/>
        <v>8</v>
      </c>
      <c r="G46" s="947"/>
      <c r="H46" s="24"/>
      <c r="I46" s="684"/>
      <c r="J46" s="684"/>
      <c r="K46" s="684"/>
    </row>
    <row r="47" spans="2:11" x14ac:dyDescent="0.25">
      <c r="B47" s="16">
        <f t="shared" si="1"/>
        <v>1914</v>
      </c>
      <c r="C47" s="730">
        <v>14</v>
      </c>
      <c r="D47" s="1865">
        <f t="shared" si="3"/>
        <v>8</v>
      </c>
      <c r="E47" s="1865"/>
      <c r="F47" s="1868">
        <f t="shared" si="2"/>
        <v>9</v>
      </c>
      <c r="G47" s="947"/>
      <c r="H47" s="24"/>
      <c r="I47" s="684"/>
      <c r="J47" s="684"/>
      <c r="K47" s="684"/>
    </row>
    <row r="48" spans="2:11" x14ac:dyDescent="0.25">
      <c r="B48" s="16">
        <f t="shared" si="1"/>
        <v>1915</v>
      </c>
      <c r="C48" s="730">
        <v>15</v>
      </c>
      <c r="D48" s="1865">
        <f t="shared" si="3"/>
        <v>9</v>
      </c>
      <c r="E48" s="1865"/>
      <c r="F48" s="1868">
        <f t="shared" si="2"/>
        <v>10</v>
      </c>
      <c r="G48" s="947"/>
      <c r="H48" s="24"/>
      <c r="I48" s="684"/>
      <c r="J48" s="684"/>
      <c r="K48" s="684"/>
    </row>
    <row r="49" spans="2:8" x14ac:dyDescent="0.25">
      <c r="B49" s="16">
        <f t="shared" si="1"/>
        <v>1916</v>
      </c>
      <c r="C49" s="730">
        <v>16</v>
      </c>
      <c r="D49" s="1865">
        <f t="shared" si="3"/>
        <v>10</v>
      </c>
      <c r="E49" s="1865"/>
      <c r="F49" s="1868">
        <f t="shared" si="2"/>
        <v>11</v>
      </c>
      <c r="G49" s="947"/>
      <c r="H49" s="24"/>
    </row>
    <row r="50" spans="2:8" x14ac:dyDescent="0.25">
      <c r="B50" s="16">
        <f t="shared" si="1"/>
        <v>1917</v>
      </c>
      <c r="C50" s="730">
        <v>17</v>
      </c>
      <c r="D50" s="1865">
        <f t="shared" si="3"/>
        <v>11</v>
      </c>
      <c r="E50" s="1865"/>
      <c r="F50" s="1868">
        <f t="shared" si="2"/>
        <v>12</v>
      </c>
      <c r="G50" s="947"/>
      <c r="H50" s="24"/>
    </row>
    <row r="51" spans="2:8" x14ac:dyDescent="0.25">
      <c r="B51" s="16">
        <f t="shared" si="1"/>
        <v>1918</v>
      </c>
      <c r="C51" s="730">
        <v>18</v>
      </c>
      <c r="D51" s="1865">
        <f t="shared" si="3"/>
        <v>12</v>
      </c>
      <c r="E51" s="1865"/>
      <c r="F51" s="1880" t="str">
        <f>IF(F50=12,"Grad",F50+1)</f>
        <v>Grad</v>
      </c>
      <c r="G51" s="1881"/>
      <c r="H51" s="25"/>
    </row>
    <row r="52" spans="2:8" ht="13.8" thickBot="1" x14ac:dyDescent="0.3">
      <c r="B52" s="20">
        <f t="shared" si="1"/>
        <v>1919</v>
      </c>
      <c r="C52" s="731">
        <v>19</v>
      </c>
      <c r="D52" s="1879" t="str">
        <f>IF(D51=12,"Grad",D51+1)</f>
        <v>Grad</v>
      </c>
      <c r="E52" s="1879"/>
      <c r="F52" s="1882" t="s">
        <v>908</v>
      </c>
      <c r="G52" s="1883"/>
      <c r="H52" s="24"/>
    </row>
    <row r="53" spans="2:8" ht="13.8" thickBot="1" x14ac:dyDescent="0.3">
      <c r="B53" s="1876" t="s">
        <v>45</v>
      </c>
      <c r="C53" s="1877"/>
      <c r="D53" s="1878"/>
      <c r="E53" s="846" t="str">
        <f ca="1">Worksheet!V46</f>
        <v>Calculate</v>
      </c>
      <c r="F53" s="847" t="str">
        <f ca="1">Worksheet!Z46</f>
        <v/>
      </c>
      <c r="G53" s="684"/>
      <c r="H53" s="624"/>
    </row>
    <row r="54" spans="2:8" x14ac:dyDescent="0.25">
      <c r="B54" s="624"/>
      <c r="C54" s="624"/>
      <c r="D54" s="624"/>
      <c r="E54" s="624"/>
      <c r="F54" s="624"/>
      <c r="G54" s="624"/>
      <c r="H54" s="624"/>
    </row>
    <row r="73" spans="3:3" x14ac:dyDescent="0.25">
      <c r="C73" s="33"/>
    </row>
  </sheetData>
  <sheetProtection algorithmName="SHA-512" hashValue="GO4XFABenJ4e22ZgIlcNbCZWK+qmPc8P0YHYC46lqS2Ty5aA+gIVjwmdZzWmasaa/GxUvXCYjKYnRp5WH4NLAg==" saltValue="X71tETpEzHCt7MuLJUnU6g==" spinCount="100000" sheet="1" objects="1" scenarios="1"/>
  <mergeCells count="64">
    <mergeCell ref="I9:J9"/>
    <mergeCell ref="I8:J8"/>
    <mergeCell ref="C8:D8"/>
    <mergeCell ref="G8:H8"/>
    <mergeCell ref="E8:F8"/>
    <mergeCell ref="C9:D9"/>
    <mergeCell ref="G9:H9"/>
    <mergeCell ref="E9:F9"/>
    <mergeCell ref="D43:E43"/>
    <mergeCell ref="D44:E44"/>
    <mergeCell ref="F50:G50"/>
    <mergeCell ref="F51:G51"/>
    <mergeCell ref="F52:G52"/>
    <mergeCell ref="F43:G43"/>
    <mergeCell ref="F44:G44"/>
    <mergeCell ref="F45:G45"/>
    <mergeCell ref="F46:G46"/>
    <mergeCell ref="F49:G49"/>
    <mergeCell ref="D46:E46"/>
    <mergeCell ref="D47:E47"/>
    <mergeCell ref="D48:E48"/>
    <mergeCell ref="D45:E45"/>
    <mergeCell ref="F47:G47"/>
    <mergeCell ref="F48:G48"/>
    <mergeCell ref="B53:D53"/>
    <mergeCell ref="D52:E52"/>
    <mergeCell ref="D49:E49"/>
    <mergeCell ref="D50:E50"/>
    <mergeCell ref="D51:E51"/>
    <mergeCell ref="D42:E42"/>
    <mergeCell ref="D40:E40"/>
    <mergeCell ref="F41:G41"/>
    <mergeCell ref="F38:G38"/>
    <mergeCell ref="F39:G39"/>
    <mergeCell ref="F40:G40"/>
    <mergeCell ref="F42:G42"/>
    <mergeCell ref="D38:E38"/>
    <mergeCell ref="D35:E35"/>
    <mergeCell ref="D36:E36"/>
    <mergeCell ref="F37:G37"/>
    <mergeCell ref="D39:E39"/>
    <mergeCell ref="D41:E41"/>
    <mergeCell ref="B27:G28"/>
    <mergeCell ref="B29:C29"/>
    <mergeCell ref="D30:E30"/>
    <mergeCell ref="D33:E33"/>
    <mergeCell ref="D37:E37"/>
    <mergeCell ref="D31:E31"/>
    <mergeCell ref="F30:G30"/>
    <mergeCell ref="F31:G31"/>
    <mergeCell ref="F32:G32"/>
    <mergeCell ref="D32:E32"/>
    <mergeCell ref="D29:E29"/>
    <mergeCell ref="F34:G34"/>
    <mergeCell ref="F35:G35"/>
    <mergeCell ref="F36:G36"/>
    <mergeCell ref="F33:G33"/>
    <mergeCell ref="D34:E34"/>
    <mergeCell ref="D7:J7"/>
    <mergeCell ref="B2:J2"/>
    <mergeCell ref="D3:J4"/>
    <mergeCell ref="D5:J5"/>
    <mergeCell ref="D6:J6"/>
    <mergeCell ref="B3:C3"/>
  </mergeCells>
  <phoneticPr fontId="0" type="noConversion"/>
  <printOptions gridLines="1"/>
  <pageMargins left="0.25" right="0.25" top="0.5" bottom="0.5" header="0.5" footer="0.5"/>
  <pageSetup scale="9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355"/>
  <sheetViews>
    <sheetView workbookViewId="0"/>
  </sheetViews>
  <sheetFormatPr defaultRowHeight="13.2" x14ac:dyDescent="0.25"/>
  <cols>
    <col min="1" max="1" width="7.6640625" customWidth="1"/>
    <col min="3" max="3" width="12.33203125" customWidth="1"/>
    <col min="4" max="4" width="14.33203125" customWidth="1"/>
    <col min="5" max="5" width="9.6640625" style="53" customWidth="1"/>
    <col min="6" max="6" width="9.6640625" customWidth="1"/>
    <col min="7" max="8" width="9.33203125" style="53"/>
    <col min="11" max="11" width="6.6640625" customWidth="1"/>
    <col min="12" max="13" width="7.6640625" customWidth="1"/>
  </cols>
  <sheetData>
    <row r="1" spans="1:13" ht="11.25" customHeight="1" x14ac:dyDescent="0.3">
      <c r="A1" s="413"/>
      <c r="B1" s="1898" t="s">
        <v>909</v>
      </c>
      <c r="C1" s="1898"/>
      <c r="D1" s="1898"/>
      <c r="E1" s="1898"/>
      <c r="F1" s="1898"/>
      <c r="G1" s="1898"/>
      <c r="H1" s="1898"/>
      <c r="I1" s="1898"/>
      <c r="J1" s="414"/>
      <c r="K1" s="415"/>
      <c r="L1" s="415"/>
      <c r="M1" s="415"/>
    </row>
    <row r="2" spans="1:13" ht="39.75" customHeight="1" x14ac:dyDescent="0.25">
      <c r="A2" s="1899" t="s">
        <v>910</v>
      </c>
      <c r="B2" s="1900"/>
      <c r="C2" s="1901"/>
      <c r="D2" s="416" t="str">
        <f>IF(CustomTaxDeduction,2,"")</f>
        <v/>
      </c>
      <c r="E2" s="417" t="s">
        <v>911</v>
      </c>
      <c r="F2" s="418" t="s">
        <v>912</v>
      </c>
      <c r="G2" s="418" t="s">
        <v>913</v>
      </c>
      <c r="H2" s="418" t="s">
        <v>914</v>
      </c>
      <c r="I2" s="418" t="s">
        <v>915</v>
      </c>
      <c r="J2" s="419" t="s">
        <v>916</v>
      </c>
      <c r="K2" s="591"/>
      <c r="L2" s="591"/>
      <c r="M2" s="591"/>
    </row>
    <row r="3" spans="1:13" ht="10.199999999999999" customHeight="1" x14ac:dyDescent="0.25">
      <c r="A3" s="1905" t="s">
        <v>917</v>
      </c>
      <c r="B3" s="1905"/>
      <c r="C3" s="1905"/>
      <c r="D3" s="1906" t="str">
        <f>IF(OR(NOT(ISNUMBER(D2)),D2&gt;1),"",D2)</f>
        <v/>
      </c>
      <c r="E3" s="420">
        <f>IF(AND(D2&gt;G3,D2&lt;=H3),I3,0)</f>
        <v>0</v>
      </c>
      <c r="F3" s="421">
        <f>IF(AND(D7&gt;G3,D7&lt;=H3),I3,0)</f>
        <v>0</v>
      </c>
      <c r="G3" s="421">
        <v>0.9</v>
      </c>
      <c r="H3" s="421">
        <v>1</v>
      </c>
      <c r="I3" s="421">
        <v>0.95</v>
      </c>
      <c r="J3" s="422">
        <v>1</v>
      </c>
      <c r="K3" s="591"/>
      <c r="L3" s="591"/>
      <c r="M3" s="591"/>
    </row>
    <row r="4" spans="1:13" ht="10.199999999999999" customHeight="1" x14ac:dyDescent="0.25">
      <c r="A4" s="1905"/>
      <c r="B4" s="1905"/>
      <c r="C4" s="1905"/>
      <c r="D4" s="1903"/>
      <c r="E4" s="420">
        <f>IF(AND(D2&gt;G4,D2&lt;=H4),I4,0)</f>
        <v>0</v>
      </c>
      <c r="F4" s="421">
        <f>IF(AND(D7&gt;G4,D7&lt;=H4),I4,0)</f>
        <v>0</v>
      </c>
      <c r="G4" s="421">
        <v>0.77500000000000002</v>
      </c>
      <c r="H4" s="421">
        <v>0.9</v>
      </c>
      <c r="I4" s="421">
        <v>0.8</v>
      </c>
      <c r="J4" s="423">
        <v>0.8</v>
      </c>
      <c r="K4" s="591"/>
      <c r="L4" s="591"/>
      <c r="M4" s="591"/>
    </row>
    <row r="5" spans="1:13" ht="10.199999999999999" customHeight="1" x14ac:dyDescent="0.25">
      <c r="A5" s="1905" t="s">
        <v>918</v>
      </c>
      <c r="B5" s="1905"/>
      <c r="C5" s="1905"/>
      <c r="D5" s="1907" t="str">
        <f>Worksheet!U47</f>
        <v/>
      </c>
      <c r="E5" s="420">
        <f>IF(AND(D2&gt;G5,D2&lt;=H5),I5,0)</f>
        <v>0</v>
      </c>
      <c r="F5" s="421">
        <f>IF(AND(D7&gt;G5,D7&lt;=H5),I5,0)</f>
        <v>0</v>
      </c>
      <c r="G5" s="421">
        <v>0.70830000000000004</v>
      </c>
      <c r="H5" s="421">
        <v>0.77500000000000002</v>
      </c>
      <c r="I5" s="421">
        <v>0.75</v>
      </c>
      <c r="J5" s="423">
        <v>0.75</v>
      </c>
      <c r="K5" s="591"/>
      <c r="L5" s="591"/>
      <c r="M5" s="591"/>
    </row>
    <row r="6" spans="1:13" ht="10.199999999999999" customHeight="1" x14ac:dyDescent="0.25">
      <c r="A6" s="1905"/>
      <c r="B6" s="1905"/>
      <c r="C6" s="1905"/>
      <c r="D6" s="1903"/>
      <c r="E6" s="420">
        <f>IF(AND(D2&gt;G6,D2&lt;=H6),I6,0)</f>
        <v>0</v>
      </c>
      <c r="F6" s="421">
        <f>IF(AND(D7&gt;G6,D7&lt;=H6),I6,0)</f>
        <v>0</v>
      </c>
      <c r="G6" s="421">
        <v>0.63329999999999997</v>
      </c>
      <c r="H6" s="421">
        <v>0.70830000000000004</v>
      </c>
      <c r="I6" s="421">
        <v>0.7</v>
      </c>
      <c r="J6" s="423">
        <v>0.66666666666666663</v>
      </c>
      <c r="K6" s="591"/>
      <c r="L6" s="591"/>
      <c r="M6" s="591"/>
    </row>
    <row r="7" spans="1:13" ht="10.199999999999999" customHeight="1" x14ac:dyDescent="0.25">
      <c r="A7" s="1905" t="s">
        <v>919</v>
      </c>
      <c r="B7" s="1905"/>
      <c r="C7" s="1905"/>
      <c r="D7" s="1908" t="str">
        <f>Worksheet!U71</f>
        <v/>
      </c>
      <c r="E7" s="420">
        <f>IF(AND(D2&gt;G7,D2&lt;=H7),I7,0)</f>
        <v>0</v>
      </c>
      <c r="F7" s="421">
        <f>IF(AND(D7&gt;G7,D7&lt;=H7),I7,0)</f>
        <v>0</v>
      </c>
      <c r="G7" s="421">
        <v>0.55000000000000004</v>
      </c>
      <c r="H7" s="421">
        <v>0.63329999999999997</v>
      </c>
      <c r="I7" s="421">
        <v>0.6</v>
      </c>
      <c r="J7" s="423">
        <v>0.6</v>
      </c>
      <c r="K7" s="591"/>
      <c r="L7" s="591"/>
      <c r="M7" s="591"/>
    </row>
    <row r="8" spans="1:13" ht="10.199999999999999" customHeight="1" x14ac:dyDescent="0.25">
      <c r="A8" s="1905"/>
      <c r="B8" s="1905"/>
      <c r="C8" s="1905"/>
      <c r="D8" s="1909"/>
      <c r="E8" s="420">
        <f>IF(AND(D2&gt;G8,D2&lt;=H8),I8,0)</f>
        <v>0</v>
      </c>
      <c r="F8" s="421">
        <f>IF(AND(D7&gt;G8,D7&lt;=H8),I8,0)</f>
        <v>0</v>
      </c>
      <c r="G8" s="421">
        <v>0.45</v>
      </c>
      <c r="H8" s="421">
        <v>0.55000000000000004</v>
      </c>
      <c r="I8" s="421">
        <v>0.5</v>
      </c>
      <c r="J8" s="423">
        <v>0.5</v>
      </c>
      <c r="K8" s="591"/>
      <c r="L8" s="591"/>
      <c r="M8" s="591"/>
    </row>
    <row r="9" spans="1:13" ht="10.199999999999999" customHeight="1" x14ac:dyDescent="0.25">
      <c r="A9" s="1905" t="s">
        <v>920</v>
      </c>
      <c r="B9" s="1905"/>
      <c r="C9" s="1905"/>
      <c r="D9" s="1902" t="str">
        <f>IF(NOT(ISNUMBER(D5)),"",IF(D5&gt;6,61,D5*10+1+F14))</f>
        <v/>
      </c>
      <c r="E9" s="420">
        <f>IF(AND(D2&gt;G9,D2&lt;=H9),I9,0)</f>
        <v>0</v>
      </c>
      <c r="F9" s="421">
        <f>IF(AND(D7&gt;G9,D7&lt;=H9),I9,0)</f>
        <v>0</v>
      </c>
      <c r="G9" s="421">
        <v>0.36659999999999998</v>
      </c>
      <c r="H9" s="421">
        <v>0.45</v>
      </c>
      <c r="I9" s="421">
        <v>0.4</v>
      </c>
      <c r="J9" s="423">
        <v>0.4</v>
      </c>
      <c r="K9" s="591"/>
      <c r="L9" s="591"/>
      <c r="M9" s="591"/>
    </row>
    <row r="10" spans="1:13" ht="10.199999999999999" customHeight="1" x14ac:dyDescent="0.25">
      <c r="A10" s="1905"/>
      <c r="B10" s="1905"/>
      <c r="C10" s="1905"/>
      <c r="D10" s="1903"/>
      <c r="E10" s="420">
        <f>IF(AND(D2&gt;G10,D2&lt;=H10),I10,0)</f>
        <v>0</v>
      </c>
      <c r="F10" s="421">
        <f>IF(AND(D7&gt;G10,D7&lt;=H10),I10,0)</f>
        <v>0</v>
      </c>
      <c r="G10" s="421">
        <v>0.29160000000000003</v>
      </c>
      <c r="H10" s="421">
        <v>0.36659999999999998</v>
      </c>
      <c r="I10" s="421">
        <v>0.3</v>
      </c>
      <c r="J10" s="423">
        <v>0.33333333333333331</v>
      </c>
      <c r="K10" s="591"/>
      <c r="L10" s="424"/>
      <c r="M10" s="684"/>
    </row>
    <row r="11" spans="1:13" ht="10.199999999999999" customHeight="1" x14ac:dyDescent="0.25">
      <c r="A11" s="1904" t="s">
        <v>921</v>
      </c>
      <c r="B11" s="1904"/>
      <c r="C11" s="1904"/>
      <c r="D11" s="1902" t="str">
        <f>IF(NOT(ISNUMBER(D2)),"",IF(D2&gt;1,101,IF(D5&gt;6,61,D5*10+1+E14)))</f>
        <v/>
      </c>
      <c r="E11" s="420">
        <f>IF(AND(D2&gt;G11,D2&lt;=H11),I11,0)</f>
        <v>0</v>
      </c>
      <c r="F11" s="421">
        <f>IF(AND(D7&gt;G11,D7&lt;=H11),I11,0)</f>
        <v>0</v>
      </c>
      <c r="G11" s="421">
        <v>0.22500000000000001</v>
      </c>
      <c r="H11" s="421">
        <v>0.29160000000000003</v>
      </c>
      <c r="I11" s="421">
        <v>0.25</v>
      </c>
      <c r="J11" s="423">
        <v>0.25</v>
      </c>
      <c r="K11" s="591"/>
      <c r="L11" s="424"/>
      <c r="M11" s="684"/>
    </row>
    <row r="12" spans="1:13" ht="10.199999999999999" customHeight="1" x14ac:dyDescent="0.25">
      <c r="A12" s="1905"/>
      <c r="B12" s="1905"/>
      <c r="C12" s="1905"/>
      <c r="D12" s="1903"/>
      <c r="E12" s="420">
        <f>IF(AND(D2&gt;G12,D2&lt;=H12),I12,0)</f>
        <v>0</v>
      </c>
      <c r="F12" s="421">
        <f>IF(AND(D7&gt;G12,D7&lt;=H12),I12,0)</f>
        <v>0</v>
      </c>
      <c r="G12" s="421">
        <v>0.1</v>
      </c>
      <c r="H12" s="421">
        <v>0.22500000000000001</v>
      </c>
      <c r="I12" s="421">
        <v>0.2</v>
      </c>
      <c r="J12" s="423">
        <v>0.2</v>
      </c>
      <c r="K12" s="591"/>
      <c r="L12" s="424"/>
      <c r="M12" s="684"/>
    </row>
    <row r="13" spans="1:13" ht="10.199999999999999" customHeight="1" x14ac:dyDescent="0.25">
      <c r="A13" s="1905" t="s">
        <v>922</v>
      </c>
      <c r="B13" s="1905"/>
      <c r="C13" s="1905"/>
      <c r="D13" s="1902" t="str">
        <f>IF(ISNUMBER(D2),D11,D9)</f>
        <v/>
      </c>
      <c r="E13" s="420">
        <f>IF(AND(D2&gt;G13,D2&lt;=H13),I13,0)</f>
        <v>0</v>
      </c>
      <c r="F13" s="421">
        <f>IF(AND(D7&gt;G13,D7&lt;=H13),I13,0)</f>
        <v>0</v>
      </c>
      <c r="G13" s="421">
        <v>0</v>
      </c>
      <c r="H13" s="421">
        <v>0.1</v>
      </c>
      <c r="I13" s="421">
        <v>0</v>
      </c>
      <c r="J13" s="423">
        <v>0</v>
      </c>
      <c r="K13" s="591"/>
      <c r="L13" s="424"/>
      <c r="M13" s="684"/>
    </row>
    <row r="14" spans="1:13" ht="10.199999999999999" customHeight="1" x14ac:dyDescent="0.25">
      <c r="A14" s="1905"/>
      <c r="B14" s="1905"/>
      <c r="C14" s="1905"/>
      <c r="D14" s="1903"/>
      <c r="E14" s="420">
        <f>SUM(E3:E13)</f>
        <v>0</v>
      </c>
      <c r="F14" s="421">
        <f>SUM(F3:F13)</f>
        <v>0</v>
      </c>
      <c r="G14" s="425"/>
      <c r="H14" s="425"/>
      <c r="I14" s="425"/>
      <c r="J14" s="423">
        <f>F14</f>
        <v>0</v>
      </c>
      <c r="K14" s="684"/>
      <c r="L14" s="424"/>
      <c r="M14" s="684"/>
    </row>
    <row r="15" spans="1:13" ht="9.75" customHeight="1" x14ac:dyDescent="0.25">
      <c r="A15" s="49"/>
      <c r="B15" s="426"/>
      <c r="C15" s="427"/>
      <c r="D15" s="428"/>
      <c r="E15" s="1924">
        <f>IF(NOT(ISNUMBER(D2)),F14,E14)</f>
        <v>0</v>
      </c>
      <c r="F15" s="1924"/>
      <c r="G15" s="426"/>
      <c r="H15" s="428"/>
      <c r="I15" s="426"/>
      <c r="J15" s="429"/>
      <c r="K15" s="684"/>
      <c r="L15" s="424"/>
      <c r="M15" s="684"/>
    </row>
    <row r="16" spans="1:13" x14ac:dyDescent="0.25">
      <c r="A16" s="1910" t="s">
        <v>142</v>
      </c>
      <c r="B16" s="1911"/>
      <c r="C16" s="1912"/>
      <c r="D16" s="1210" t="s">
        <v>18</v>
      </c>
      <c r="E16" s="1922" t="s">
        <v>923</v>
      </c>
      <c r="F16" s="1216" t="s">
        <v>924</v>
      </c>
      <c r="G16" s="1920"/>
      <c r="H16" s="1920"/>
      <c r="I16" s="1920"/>
      <c r="J16" s="1921"/>
      <c r="K16" s="671"/>
      <c r="L16" s="591"/>
      <c r="M16" s="591"/>
    </row>
    <row r="17" spans="1:14" x14ac:dyDescent="0.25">
      <c r="A17" s="1913"/>
      <c r="B17" s="1914"/>
      <c r="C17" s="1915"/>
      <c r="D17" s="1916"/>
      <c r="E17" s="1923"/>
      <c r="F17" s="59" t="str">
        <f ca="1">IF(NOT(ISNUMBER(D18)),"",YEAR(TODAY()))</f>
        <v/>
      </c>
      <c r="G17" s="634" t="str">
        <f>IF(NOT(ISNUMBER(D18)),"",IF(F17+1&lt;=YEAR(MAX(D18:D23))+18,F17+1,""))</f>
        <v/>
      </c>
      <c r="H17" s="634" t="str">
        <f>IF(OR(NOT(ISNUMBER(D18)),E15=0.5),"",IF(F17+2&lt;=YEAR(MAX(D18:D23))+18,F17+2,""))</f>
        <v/>
      </c>
      <c r="I17" s="634" t="str">
        <f>IF(OR(NOT(ISNUMBER(D18)),E15=0.7,E15=0.5,E15=0.3),"",IF(F17+3&lt;=YEAR(MAX(D18:D23))+18,F17+3,""))</f>
        <v/>
      </c>
      <c r="J17" s="634" t="str">
        <f>IF(OR(NOT(ISNUMBER(D18)),E15=0.75,E15=0.7,E15=0.5,E15=0.3,E15=0.25),"",IF(F17+4&lt;=YEAR(MAX(D18:D23))+18,F17+4,""))</f>
        <v/>
      </c>
      <c r="K17" s="591"/>
      <c r="L17" s="591"/>
      <c r="M17" s="591"/>
      <c r="N17" s="592"/>
    </row>
    <row r="18" spans="1:14" x14ac:dyDescent="0.25">
      <c r="A18" s="1892" t="str">
        <f>IF(NOT(ISBLANK(ChildSupportOrder!C102)),ChildSupportOrder!C102,"")</f>
        <v/>
      </c>
      <c r="B18" s="1893"/>
      <c r="C18" s="1894"/>
      <c r="D18" s="625" t="str">
        <f>ChildSupportOrder!I102</f>
        <v/>
      </c>
      <c r="E18" s="60" t="e">
        <f t="shared" ref="E18:E23" ca="1" si="0">(TODAY()-D18)/365.25</f>
        <v>#VALUE!</v>
      </c>
      <c r="F18" s="57" t="str">
        <f>IF(NOT(ISNUMBER(ChildSupportOrder!M19)),"",IF(F17&lt;=YEAR(D18)+18,VLOOKUP(D13,D27:J331,3,FALSE),""))</f>
        <v/>
      </c>
      <c r="G18" s="57" t="str">
        <f>IF(NOT(ISNUMBER(ChildSupportOrder!M19)),"",IF(G17&lt;=YEAR(D18)+18,VLOOKUP(D13,D27:J331,4,FALSE),""))</f>
        <v/>
      </c>
      <c r="H18" s="57" t="str">
        <f>IF(NOT(ISNUMBER(ChildSupportOrder!M19)),"",IF(H17&lt;=YEAR(D18)+18,VLOOKUP(D13,D27:J331,5,FALSE),""))</f>
        <v/>
      </c>
      <c r="I18" s="57" t="str">
        <f>IF(NOT(ISNUMBER(ChildSupportOrder!M19)),"",IF(I17&lt;=YEAR(D18)+18,VLOOKUP(D13,D27:J331,6,FALSE),""))</f>
        <v/>
      </c>
      <c r="J18" s="57" t="str">
        <f>IF(NOT(ISNUMBER(ChildSupportOrder!M19)),"",IF(J17&lt;=YEAR(D18)+18,VLOOKUP(D13,D27:J331,7,FALSE),""))</f>
        <v/>
      </c>
      <c r="K18" s="591"/>
      <c r="L18" s="591"/>
      <c r="M18" s="591"/>
      <c r="N18" s="592"/>
    </row>
    <row r="19" spans="1:14" x14ac:dyDescent="0.25">
      <c r="A19" s="1892" t="str">
        <f>IF(NOT(ISBLANK(ChildSupportOrder!C103)),ChildSupportOrder!C103,"")</f>
        <v/>
      </c>
      <c r="B19" s="1893"/>
      <c r="C19" s="1894"/>
      <c r="D19" s="625" t="str">
        <f>ChildSupportOrder!I103</f>
        <v/>
      </c>
      <c r="E19" s="60" t="e">
        <f t="shared" ca="1" si="0"/>
        <v>#VALUE!</v>
      </c>
      <c r="F19" s="57" t="str">
        <f>IF(NOT(ISNUMBER(ChildSupportOrder!M20)),"",IF(F17&lt;=YEAR(D19)+18,VLOOKUP(D13+1,D27:J331,3,FALSE),""))</f>
        <v/>
      </c>
      <c r="G19" s="57" t="str">
        <f>IF(NOT(ISNUMBER(ChildSupportOrder!M20)),"",IF(G17&lt;=YEAR(D19)+18,VLOOKUP(D13+1,D27:J331,4,FALSE),""))</f>
        <v/>
      </c>
      <c r="H19" s="57" t="str">
        <f>IF(NOT(ISNUMBER(ChildSupportOrder!M20)),"",IF(H17&lt;=YEAR(D19)+18,VLOOKUP(D13+1,D27:J331,5,FALSE),""))</f>
        <v/>
      </c>
      <c r="I19" s="57" t="str">
        <f>IF(NOT(ISNUMBER(ChildSupportOrder!M20)),"",IF(I17&lt;=YEAR(D19)+18,VLOOKUP(D13+1,D27:J331,6,FALSE),""))</f>
        <v/>
      </c>
      <c r="J19" s="57" t="str">
        <f>IF(NOT(ISNUMBER(ChildSupportOrder!M20)),"",IF(J17&lt;=YEAR(D19)+18,VLOOKUP(D13+1,D27:J331,7,FALSE),""))</f>
        <v/>
      </c>
      <c r="K19" s="591"/>
      <c r="L19" s="591"/>
      <c r="M19" s="591"/>
      <c r="N19" s="592"/>
    </row>
    <row r="20" spans="1:14" x14ac:dyDescent="0.25">
      <c r="A20" s="1892" t="str">
        <f>IF(NOT(ISBLANK(ChildSupportOrder!C104)),ChildSupportOrder!C104,"")</f>
        <v/>
      </c>
      <c r="B20" s="1893"/>
      <c r="C20" s="1894"/>
      <c r="D20" s="625" t="str">
        <f>ChildSupportOrder!I104</f>
        <v/>
      </c>
      <c r="E20" s="60" t="e">
        <f t="shared" ca="1" si="0"/>
        <v>#VALUE!</v>
      </c>
      <c r="F20" s="57" t="str">
        <f>IF(NOT(ISNUMBER(ChildSupportOrder!M21)),"",IF(F17&lt;=YEAR(D20)+18,VLOOKUP(D13+2,D27:J331,3,FALSE),""))</f>
        <v/>
      </c>
      <c r="G20" s="57" t="str">
        <f>IF(NOT(ISNUMBER(ChildSupportOrder!M21)),"",IF(G17&lt;=YEAR(D20)+18,VLOOKUP(D13+2,D27:J331,4,FALSE),""))</f>
        <v/>
      </c>
      <c r="H20" s="57" t="str">
        <f>IF(NOT(ISNUMBER(ChildSupportOrder!M21)),"",IF(H17&lt;=YEAR(D20)+18,VLOOKUP(D13+2,D27:J331,5,FALSE),""))</f>
        <v/>
      </c>
      <c r="I20" s="57" t="str">
        <f>IF(NOT(ISNUMBER(ChildSupportOrder!M21)),"",IF(I17&lt;=YEAR(D20)+18,VLOOKUP(D13+2,D27:J331,6,FALSE),""))</f>
        <v/>
      </c>
      <c r="J20" s="57" t="str">
        <f>IF(NOT(ISNUMBER(ChildSupportOrder!M21)),"",IF(J17&lt;=YEAR(D20)+18,VLOOKUP(D13+2,D27:J331,7,FALSE),""))</f>
        <v/>
      </c>
      <c r="K20" s="591"/>
      <c r="L20" s="591"/>
      <c r="M20" s="591"/>
      <c r="N20" s="592"/>
    </row>
    <row r="21" spans="1:14" x14ac:dyDescent="0.25">
      <c r="A21" s="1892" t="str">
        <f>IF(NOT(ISBLANK(ChildSupportOrder!C105)),ChildSupportOrder!C105,"")</f>
        <v/>
      </c>
      <c r="B21" s="1893"/>
      <c r="C21" s="1894"/>
      <c r="D21" s="625" t="str">
        <f>ChildSupportOrder!I105</f>
        <v/>
      </c>
      <c r="E21" s="60" t="e">
        <f t="shared" ca="1" si="0"/>
        <v>#VALUE!</v>
      </c>
      <c r="F21" s="57" t="str">
        <f>IF(NOT(ISNUMBER(ChildSupportOrder!M22)),"",IF(F17&lt;=YEAR(D21)+18,VLOOKUP(D13+3,D27:J331,3,FALSE),""))</f>
        <v/>
      </c>
      <c r="G21" s="57" t="str">
        <f>IF(NOT(ISNUMBER(ChildSupportOrder!M22)),"",IF(G17&lt;=YEAR(D21)+18,VLOOKUP(D13+3,D27:J331,4,FALSE),""))</f>
        <v/>
      </c>
      <c r="H21" s="57" t="str">
        <f>IF(NOT(ISNUMBER(ChildSupportOrder!M22)),"",IF(H17&lt;=YEAR(D21)+18,VLOOKUP(D13+3,D27:J331,5,FALSE),""))</f>
        <v/>
      </c>
      <c r="I21" s="57" t="str">
        <f>IF(NOT(ISNUMBER(ChildSupportOrder!M22)),"",IF(I17&lt;=YEAR(D21)+18,VLOOKUP(D13+3,D27:J331,6,FALSE),""))</f>
        <v/>
      </c>
      <c r="J21" s="57" t="str">
        <f>IF(NOT(ISNUMBER(ChildSupportOrder!M22)),"",IF(J17&lt;=YEAR(D21)+18,VLOOKUP(D13+3,D27:J331,7,FALSE),""))</f>
        <v/>
      </c>
      <c r="K21" s="591"/>
      <c r="L21" s="591"/>
      <c r="M21" s="591"/>
      <c r="N21" s="592"/>
    </row>
    <row r="22" spans="1:14" x14ac:dyDescent="0.25">
      <c r="A22" s="1892" t="str">
        <f>IF(NOT(ISBLANK(ChildSupportOrder!C106)),ChildSupportOrder!C106,"")</f>
        <v/>
      </c>
      <c r="B22" s="1893"/>
      <c r="C22" s="1894"/>
      <c r="D22" s="625" t="str">
        <f>ChildSupportOrder!I106</f>
        <v/>
      </c>
      <c r="E22" s="60" t="e">
        <f t="shared" ca="1" si="0"/>
        <v>#VALUE!</v>
      </c>
      <c r="F22" s="57" t="str">
        <f>IF(NOT(ISNUMBER(ChildSupportOrder!M23)),"",IF(F17&lt;=YEAR(D22)+18,VLOOKUP(D13+4,D27:J331,3,FALSE),""))</f>
        <v/>
      </c>
      <c r="G22" s="57" t="str">
        <f>IF(NOT(ISNUMBER(ChildSupportOrder!M23)),"",IF(G17&lt;=YEAR(D22)+18,VLOOKUP(D13+4,D27:J331,4,FALSE),""))</f>
        <v/>
      </c>
      <c r="H22" s="57" t="str">
        <f>IF(NOT(ISNUMBER(ChildSupportOrder!M23)),"",IF(H17&lt;=YEAR(D22)+18,VLOOKUP(D13+4,D27:J331,5,FALSE),""))</f>
        <v/>
      </c>
      <c r="I22" s="57" t="str">
        <f>IF(NOT(ISNUMBER(ChildSupportOrder!M23)),"",IF(I17&lt;=YEAR(D22)+18,VLOOKUP(D13+4,D27:J331,6,FALSE),""))</f>
        <v/>
      </c>
      <c r="J22" s="57" t="str">
        <f>IF(NOT(ISNUMBER(ChildSupportOrder!M23)),"",IF(J17&lt;=YEAR(D22)+18,VLOOKUP(D13+4,D27:J331,7,FALSE),""))</f>
        <v/>
      </c>
      <c r="K22" s="591"/>
      <c r="L22" s="591"/>
      <c r="M22" s="591"/>
      <c r="N22" s="592"/>
    </row>
    <row r="23" spans="1:14" x14ac:dyDescent="0.25">
      <c r="A23" s="1895" t="str">
        <f>IF(NOT(ISBLANK(ChildSupportOrder!C107)),ChildSupportOrder!C107,"")</f>
        <v/>
      </c>
      <c r="B23" s="1890"/>
      <c r="C23" s="1891"/>
      <c r="D23" s="625" t="str">
        <f>ChildSupportOrder!I107</f>
        <v/>
      </c>
      <c r="E23" s="60" t="e">
        <f t="shared" ca="1" si="0"/>
        <v>#VALUE!</v>
      </c>
      <c r="F23" s="57" t="str">
        <f>IF(NOT(ISNUMBER(ChildSupportOrder!M24)),"",IF(F17&lt;=YEAR(D23)+18,VLOOKUP(D13+5,D27:J331,3,FALSE),""))</f>
        <v/>
      </c>
      <c r="G23" s="57" t="str">
        <f>IF(NOT(ISNUMBER(ChildSupportOrder!M24)),"",IF(G17&lt;=YEAR(D23)+18,VLOOKUP(D13+5,D27:J331,4,FALSE),""))</f>
        <v/>
      </c>
      <c r="H23" s="57" t="str">
        <f>IF(NOT(ISNUMBER(ChildSupportOrder!M24)),"",IF(H17&lt;=YEAR(D23)+18,VLOOKUP(D13+5,D27:J331,5,FALSE),""))</f>
        <v/>
      </c>
      <c r="I23" s="57" t="str">
        <f>IF(NOT(ISNUMBER(ChildSupportOrder!M24)),"",IF(I17&lt;=YEAR(D23)+18,VLOOKUP(D13+5,D27:J331,6,FALSE),""))</f>
        <v/>
      </c>
      <c r="J23" s="57" t="str">
        <f>IF(NOT(ISNUMBER(ChildSupportOrder!M24)),"",IF(J17&lt;=YEAR(D23)+18,VLOOKUP(D13+5,D27:J331,7,FALSE),""))</f>
        <v/>
      </c>
      <c r="K23" s="591"/>
      <c r="L23" s="591"/>
      <c r="M23" s="430"/>
      <c r="N23" s="117"/>
    </row>
    <row r="24" spans="1:14" ht="14.4" x14ac:dyDescent="0.3">
      <c r="A24" s="1925" t="s">
        <v>925</v>
      </c>
      <c r="B24" s="1925"/>
      <c r="C24" s="1925"/>
      <c r="D24" s="475">
        <v>1</v>
      </c>
      <c r="E24" s="475">
        <v>2</v>
      </c>
      <c r="F24" s="475">
        <v>3</v>
      </c>
      <c r="G24" s="475">
        <v>4</v>
      </c>
      <c r="H24" s="475">
        <v>5</v>
      </c>
      <c r="I24" s="475">
        <v>6</v>
      </c>
      <c r="J24" s="475">
        <v>7</v>
      </c>
      <c r="K24" s="475" t="s">
        <v>926</v>
      </c>
      <c r="L24" s="591"/>
      <c r="M24" s="591"/>
      <c r="N24" s="592"/>
    </row>
    <row r="25" spans="1:14" ht="14.4" x14ac:dyDescent="0.3">
      <c r="A25" s="63"/>
      <c r="B25" s="64"/>
      <c r="C25" s="64"/>
      <c r="D25" s="58"/>
      <c r="E25" s="65"/>
      <c r="F25" s="1917" t="s">
        <v>151</v>
      </c>
      <c r="G25" s="1918"/>
      <c r="H25" s="1918"/>
      <c r="I25" s="1918"/>
      <c r="J25" s="1919"/>
      <c r="K25" s="475"/>
      <c r="L25" s="591"/>
      <c r="M25" s="591"/>
      <c r="N25" s="592"/>
    </row>
    <row r="26" spans="1:14" ht="14.4" x14ac:dyDescent="0.3">
      <c r="A26" s="1896" t="s">
        <v>927</v>
      </c>
      <c r="B26" s="1897"/>
      <c r="C26" s="1005"/>
      <c r="D26" s="657"/>
      <c r="E26" s="657" t="s">
        <v>19</v>
      </c>
      <c r="F26" s="431">
        <f ca="1">YEAR(TODAY())</f>
        <v>2022</v>
      </c>
      <c r="G26" s="431">
        <f ca="1">F26+1</f>
        <v>2023</v>
      </c>
      <c r="H26" s="431">
        <f ca="1">G26+1</f>
        <v>2024</v>
      </c>
      <c r="I26" s="431">
        <f ca="1">H26+1</f>
        <v>2025</v>
      </c>
      <c r="J26" s="431">
        <f ca="1">I26+1</f>
        <v>2026</v>
      </c>
      <c r="K26" s="475"/>
      <c r="L26" s="432"/>
      <c r="M26" s="66"/>
      <c r="N26" s="592"/>
    </row>
    <row r="27" spans="1:14" ht="14.4" x14ac:dyDescent="0.3">
      <c r="A27" s="1889" t="str">
        <f t="shared" ref="A27:A32" si="1">A18</f>
        <v/>
      </c>
      <c r="B27" s="1890"/>
      <c r="C27" s="1891"/>
      <c r="D27" s="433">
        <v>101</v>
      </c>
      <c r="E27" s="67" t="str">
        <f t="shared" ref="E27:E32" ca="1" si="2">IF(ISNUMBER(E18),E18,"")</f>
        <v/>
      </c>
      <c r="F27" s="434">
        <f>Worksheet!L166</f>
        <v>0</v>
      </c>
      <c r="G27" s="434">
        <f>Worksheet!O166</f>
        <v>0</v>
      </c>
      <c r="H27" s="434">
        <f>Worksheet!R166</f>
        <v>0</v>
      </c>
      <c r="I27" s="434">
        <f>Worksheet!U166</f>
        <v>0</v>
      </c>
      <c r="J27" s="434">
        <f>Worksheet!X166</f>
        <v>0</v>
      </c>
      <c r="K27" s="475">
        <v>0</v>
      </c>
      <c r="L27" s="436"/>
      <c r="M27" s="684"/>
      <c r="N27" s="592"/>
    </row>
    <row r="28" spans="1:14" ht="12.75" customHeight="1" x14ac:dyDescent="0.3">
      <c r="A28" s="1889" t="str">
        <f t="shared" si="1"/>
        <v/>
      </c>
      <c r="B28" s="1890"/>
      <c r="C28" s="1891"/>
      <c r="D28" s="433">
        <v>102</v>
      </c>
      <c r="E28" s="67" t="str">
        <f t="shared" ca="1" si="2"/>
        <v/>
      </c>
      <c r="F28" s="434">
        <f>Worksheet!L167</f>
        <v>0</v>
      </c>
      <c r="G28" s="434">
        <f>Worksheet!O167</f>
        <v>0</v>
      </c>
      <c r="H28" s="434">
        <f>Worksheet!R167</f>
        <v>0</v>
      </c>
      <c r="I28" s="434">
        <f>Worksheet!U167</f>
        <v>0</v>
      </c>
      <c r="J28" s="434">
        <f>Worksheet!X167</f>
        <v>0</v>
      </c>
      <c r="K28" s="475">
        <v>1</v>
      </c>
      <c r="L28" s="436"/>
      <c r="M28" s="684"/>
      <c r="N28" s="592"/>
    </row>
    <row r="29" spans="1:14" ht="12.75" customHeight="1" x14ac:dyDescent="0.3">
      <c r="A29" s="1889" t="str">
        <f t="shared" si="1"/>
        <v/>
      </c>
      <c r="B29" s="1890"/>
      <c r="C29" s="1891"/>
      <c r="D29" s="433">
        <v>103</v>
      </c>
      <c r="E29" s="67" t="str">
        <f t="shared" ca="1" si="2"/>
        <v/>
      </c>
      <c r="F29" s="434">
        <f>Worksheet!L168</f>
        <v>0</v>
      </c>
      <c r="G29" s="434">
        <f>Worksheet!O168</f>
        <v>0</v>
      </c>
      <c r="H29" s="434">
        <f>Worksheet!R168</f>
        <v>0</v>
      </c>
      <c r="I29" s="434">
        <f>Worksheet!U168</f>
        <v>0</v>
      </c>
      <c r="J29" s="434">
        <f>Worksheet!X168</f>
        <v>0</v>
      </c>
      <c r="K29" s="475">
        <v>2</v>
      </c>
      <c r="L29" s="436"/>
      <c r="M29" s="684"/>
      <c r="N29" s="592"/>
    </row>
    <row r="30" spans="1:14" ht="14.4" x14ac:dyDescent="0.3">
      <c r="A30" s="1889" t="str">
        <f t="shared" si="1"/>
        <v/>
      </c>
      <c r="B30" s="1890"/>
      <c r="C30" s="1891"/>
      <c r="D30" s="433">
        <v>104</v>
      </c>
      <c r="E30" s="67" t="str">
        <f t="shared" ca="1" si="2"/>
        <v/>
      </c>
      <c r="F30" s="434">
        <f>Worksheet!L169</f>
        <v>0</v>
      </c>
      <c r="G30" s="434">
        <f>Worksheet!O169</f>
        <v>0</v>
      </c>
      <c r="H30" s="434">
        <f>Worksheet!R169</f>
        <v>0</v>
      </c>
      <c r="I30" s="434">
        <f>Worksheet!U169</f>
        <v>0</v>
      </c>
      <c r="J30" s="434">
        <f>Worksheet!X169</f>
        <v>0</v>
      </c>
      <c r="K30" s="475">
        <v>3</v>
      </c>
      <c r="L30" s="436"/>
      <c r="M30" s="684"/>
      <c r="N30" s="592"/>
    </row>
    <row r="31" spans="1:14" ht="14.4" x14ac:dyDescent="0.3">
      <c r="A31" s="1889" t="str">
        <f t="shared" si="1"/>
        <v/>
      </c>
      <c r="B31" s="1890"/>
      <c r="C31" s="1891"/>
      <c r="D31" s="433">
        <v>105</v>
      </c>
      <c r="E31" s="67" t="str">
        <f t="shared" ca="1" si="2"/>
        <v/>
      </c>
      <c r="F31" s="434">
        <f>Worksheet!L170</f>
        <v>0</v>
      </c>
      <c r="G31" s="434">
        <f>Worksheet!O170</f>
        <v>0</v>
      </c>
      <c r="H31" s="434">
        <f>Worksheet!R170</f>
        <v>0</v>
      </c>
      <c r="I31" s="434">
        <f>Worksheet!U170</f>
        <v>0</v>
      </c>
      <c r="J31" s="434">
        <f>Worksheet!X170</f>
        <v>0</v>
      </c>
      <c r="K31" s="475">
        <v>4</v>
      </c>
      <c r="L31" s="436"/>
      <c r="M31" s="684"/>
      <c r="N31" s="592"/>
    </row>
    <row r="32" spans="1:14" ht="14.4" x14ac:dyDescent="0.3">
      <c r="A32" s="1889" t="str">
        <f t="shared" si="1"/>
        <v/>
      </c>
      <c r="B32" s="1890"/>
      <c r="C32" s="1891"/>
      <c r="D32" s="433">
        <v>106</v>
      </c>
      <c r="E32" s="67" t="str">
        <f t="shared" ca="1" si="2"/>
        <v/>
      </c>
      <c r="F32" s="434">
        <f>Worksheet!L171</f>
        <v>0</v>
      </c>
      <c r="G32" s="434">
        <f>Worksheet!O171</f>
        <v>0</v>
      </c>
      <c r="H32" s="434">
        <f>Worksheet!R171</f>
        <v>0</v>
      </c>
      <c r="I32" s="434">
        <f>Worksheet!U171</f>
        <v>0</v>
      </c>
      <c r="J32" s="434">
        <f>Worksheet!X171</f>
        <v>0</v>
      </c>
      <c r="K32" s="475">
        <v>5</v>
      </c>
      <c r="L32" s="432"/>
      <c r="M32" s="624"/>
      <c r="N32" s="592"/>
    </row>
    <row r="33" spans="1:13" x14ac:dyDescent="0.25">
      <c r="A33" s="66"/>
      <c r="B33" s="437"/>
      <c r="C33" s="438"/>
      <c r="D33" s="439"/>
      <c r="E33" s="439"/>
      <c r="F33" s="440"/>
      <c r="G33" s="440"/>
      <c r="H33" s="440"/>
      <c r="I33" s="440"/>
      <c r="J33" s="440"/>
      <c r="K33" s="66"/>
      <c r="L33" s="432"/>
      <c r="M33" s="624"/>
    </row>
    <row r="34" spans="1:13" ht="39.6" x14ac:dyDescent="0.25">
      <c r="A34" s="733" t="s">
        <v>928</v>
      </c>
      <c r="B34" s="441" t="s">
        <v>929</v>
      </c>
      <c r="C34" s="442" t="s">
        <v>930</v>
      </c>
      <c r="D34" s="441" t="s">
        <v>931</v>
      </c>
      <c r="E34" s="443"/>
      <c r="F34" s="444">
        <f ca="1">YEAR(TODAY())</f>
        <v>2022</v>
      </c>
      <c r="G34" s="444">
        <f ca="1">F34+1</f>
        <v>2023</v>
      </c>
      <c r="H34" s="444">
        <f ca="1">G34+1</f>
        <v>2024</v>
      </c>
      <c r="I34" s="444">
        <f ca="1">H34+1</f>
        <v>2025</v>
      </c>
      <c r="J34" s="444">
        <f ca="1">I34+1</f>
        <v>2026</v>
      </c>
      <c r="K34" s="733" t="s">
        <v>932</v>
      </c>
      <c r="L34" s="445" t="s">
        <v>933</v>
      </c>
      <c r="M34" s="733" t="s">
        <v>934</v>
      </c>
    </row>
    <row r="35" spans="1:13" x14ac:dyDescent="0.25">
      <c r="A35" s="848">
        <v>1</v>
      </c>
      <c r="B35" s="849">
        <v>1</v>
      </c>
      <c r="C35" s="850" t="s">
        <v>935</v>
      </c>
      <c r="D35" s="849">
        <v>11.95</v>
      </c>
      <c r="E35" s="851" t="s">
        <v>936</v>
      </c>
      <c r="F35" s="852" t="s">
        <v>937</v>
      </c>
      <c r="G35" s="852" t="s">
        <v>937</v>
      </c>
      <c r="H35" s="852" t="s">
        <v>937</v>
      </c>
      <c r="I35" s="852" t="s">
        <v>937</v>
      </c>
      <c r="J35" s="852" t="s">
        <v>937</v>
      </c>
      <c r="K35" s="435">
        <v>5</v>
      </c>
      <c r="L35" s="436">
        <f>K35*B35</f>
        <v>5</v>
      </c>
      <c r="M35" s="684">
        <f>K35-L35</f>
        <v>0</v>
      </c>
    </row>
    <row r="36" spans="1:13" x14ac:dyDescent="0.25">
      <c r="A36" s="66"/>
      <c r="B36" s="437"/>
      <c r="C36" s="438"/>
      <c r="D36" s="437"/>
      <c r="E36" s="853"/>
      <c r="F36" s="440"/>
      <c r="G36" s="440"/>
      <c r="H36" s="440"/>
      <c r="I36" s="440"/>
      <c r="J36" s="440"/>
      <c r="K36" s="435"/>
      <c r="L36" s="436"/>
      <c r="M36" s="684"/>
    </row>
    <row r="37" spans="1:13" x14ac:dyDescent="0.25">
      <c r="A37" s="66"/>
      <c r="B37" s="437"/>
      <c r="C37" s="438"/>
      <c r="D37" s="437">
        <v>21.95</v>
      </c>
      <c r="E37" s="853" t="s">
        <v>936</v>
      </c>
      <c r="F37" s="440" t="s">
        <v>937</v>
      </c>
      <c r="G37" s="440" t="s">
        <v>937</v>
      </c>
      <c r="H37" s="440" t="s">
        <v>937</v>
      </c>
      <c r="I37" s="440" t="s">
        <v>937</v>
      </c>
      <c r="J37" s="440" t="s">
        <v>937</v>
      </c>
      <c r="K37" s="435">
        <v>10</v>
      </c>
      <c r="L37" s="436">
        <f>K37*A35</f>
        <v>10</v>
      </c>
      <c r="M37" s="684">
        <f>K37-L37</f>
        <v>0</v>
      </c>
    </row>
    <row r="38" spans="1:13" x14ac:dyDescent="0.25">
      <c r="A38" s="66"/>
      <c r="B38" s="437"/>
      <c r="C38" s="438"/>
      <c r="D38" s="437">
        <v>22.95</v>
      </c>
      <c r="E38" s="853" t="s">
        <v>938</v>
      </c>
      <c r="F38" s="440" t="s">
        <v>937</v>
      </c>
      <c r="G38" s="440" t="s">
        <v>937</v>
      </c>
      <c r="H38" s="440" t="s">
        <v>937</v>
      </c>
      <c r="I38" s="440" t="s">
        <v>937</v>
      </c>
      <c r="J38" s="440" t="s">
        <v>937</v>
      </c>
      <c r="K38" s="435"/>
      <c r="L38" s="436">
        <f>COUNTIF(F37:J38,"Father")</f>
        <v>10</v>
      </c>
      <c r="M38" s="684">
        <f>COUNTIF(F37:J38,"Mother")</f>
        <v>0</v>
      </c>
    </row>
    <row r="39" spans="1:13" x14ac:dyDescent="0.25">
      <c r="A39" s="66"/>
      <c r="B39" s="437"/>
      <c r="C39" s="438"/>
      <c r="D39" s="437"/>
      <c r="E39" s="853"/>
      <c r="F39" s="440"/>
      <c r="G39" s="440"/>
      <c r="H39" s="440"/>
      <c r="I39" s="440"/>
      <c r="J39" s="440"/>
      <c r="K39" s="435"/>
      <c r="L39" s="436"/>
      <c r="M39" s="684"/>
    </row>
    <row r="40" spans="1:13" x14ac:dyDescent="0.25">
      <c r="A40" s="66"/>
      <c r="B40" s="437"/>
      <c r="C40" s="438"/>
      <c r="D40" s="446">
        <v>31.95</v>
      </c>
      <c r="E40" s="446" t="s">
        <v>936</v>
      </c>
      <c r="F40" s="440" t="s">
        <v>937</v>
      </c>
      <c r="G40" s="440" t="s">
        <v>937</v>
      </c>
      <c r="H40" s="440" t="s">
        <v>937</v>
      </c>
      <c r="I40" s="440" t="s">
        <v>937</v>
      </c>
      <c r="J40" s="440" t="s">
        <v>937</v>
      </c>
      <c r="K40" s="435">
        <v>15</v>
      </c>
      <c r="L40" s="436">
        <f>K40*A35</f>
        <v>15</v>
      </c>
      <c r="M40" s="684">
        <f>K40-L40</f>
        <v>0</v>
      </c>
    </row>
    <row r="41" spans="1:13" x14ac:dyDescent="0.25">
      <c r="A41" s="66"/>
      <c r="B41" s="437"/>
      <c r="C41" s="438"/>
      <c r="D41" s="446">
        <v>32.950000000000003</v>
      </c>
      <c r="E41" s="446" t="s">
        <v>938</v>
      </c>
      <c r="F41" s="440" t="s">
        <v>937</v>
      </c>
      <c r="G41" s="440" t="s">
        <v>937</v>
      </c>
      <c r="H41" s="440" t="s">
        <v>937</v>
      </c>
      <c r="I41" s="440" t="s">
        <v>937</v>
      </c>
      <c r="J41" s="440" t="s">
        <v>937</v>
      </c>
      <c r="K41" s="435"/>
      <c r="L41" s="436">
        <f>COUNTIF(F40:J42,"Father")</f>
        <v>15</v>
      </c>
      <c r="M41" s="684">
        <f>COUNTIF(F40:J42,"Mother")</f>
        <v>0</v>
      </c>
    </row>
    <row r="42" spans="1:13" x14ac:dyDescent="0.25">
      <c r="A42" s="66"/>
      <c r="B42" s="437"/>
      <c r="C42" s="438"/>
      <c r="D42" s="446">
        <v>33.950000000000003</v>
      </c>
      <c r="E42" s="446" t="s">
        <v>939</v>
      </c>
      <c r="F42" s="440" t="s">
        <v>937</v>
      </c>
      <c r="G42" s="440" t="s">
        <v>937</v>
      </c>
      <c r="H42" s="440" t="s">
        <v>937</v>
      </c>
      <c r="I42" s="440" t="s">
        <v>937</v>
      </c>
      <c r="J42" s="440" t="s">
        <v>937</v>
      </c>
      <c r="K42" s="435"/>
      <c r="L42" s="436"/>
      <c r="M42" s="684"/>
    </row>
    <row r="43" spans="1:13" x14ac:dyDescent="0.25">
      <c r="A43" s="66"/>
      <c r="B43" s="437"/>
      <c r="C43" s="438"/>
      <c r="D43" s="446"/>
      <c r="E43" s="446"/>
      <c r="F43" s="440"/>
      <c r="G43" s="440"/>
      <c r="H43" s="440"/>
      <c r="I43" s="440"/>
      <c r="J43" s="440"/>
      <c r="K43" s="435"/>
      <c r="L43" s="436"/>
      <c r="M43" s="684"/>
    </row>
    <row r="44" spans="1:13" x14ac:dyDescent="0.25">
      <c r="A44" s="66"/>
      <c r="B44" s="437"/>
      <c r="C44" s="438"/>
      <c r="D44" s="446">
        <v>41.95</v>
      </c>
      <c r="E44" s="446" t="s">
        <v>936</v>
      </c>
      <c r="F44" s="440" t="s">
        <v>937</v>
      </c>
      <c r="G44" s="440" t="s">
        <v>937</v>
      </c>
      <c r="H44" s="440" t="s">
        <v>937</v>
      </c>
      <c r="I44" s="440" t="s">
        <v>937</v>
      </c>
      <c r="J44" s="440" t="s">
        <v>937</v>
      </c>
      <c r="K44" s="435">
        <v>20</v>
      </c>
      <c r="L44" s="436">
        <f>K44*A35</f>
        <v>20</v>
      </c>
      <c r="M44" s="684">
        <f>K44-L44</f>
        <v>0</v>
      </c>
    </row>
    <row r="45" spans="1:13" x14ac:dyDescent="0.25">
      <c r="A45" s="66"/>
      <c r="B45" s="437"/>
      <c r="C45" s="438"/>
      <c r="D45" s="446">
        <v>42.95</v>
      </c>
      <c r="E45" s="446" t="s">
        <v>938</v>
      </c>
      <c r="F45" s="440" t="s">
        <v>937</v>
      </c>
      <c r="G45" s="440" t="s">
        <v>937</v>
      </c>
      <c r="H45" s="440" t="s">
        <v>937</v>
      </c>
      <c r="I45" s="440" t="s">
        <v>937</v>
      </c>
      <c r="J45" s="440" t="s">
        <v>937</v>
      </c>
      <c r="K45" s="435"/>
      <c r="L45" s="436">
        <f>COUNTIF(F44:J47,"Father")</f>
        <v>20</v>
      </c>
      <c r="M45" s="684">
        <f>COUNTIF(F44:J47,"Mother")</f>
        <v>0</v>
      </c>
    </row>
    <row r="46" spans="1:13" x14ac:dyDescent="0.25">
      <c r="A46" s="66"/>
      <c r="B46" s="437"/>
      <c r="C46" s="438"/>
      <c r="D46" s="446">
        <v>43.95</v>
      </c>
      <c r="E46" s="446" t="s">
        <v>939</v>
      </c>
      <c r="F46" s="440" t="s">
        <v>937</v>
      </c>
      <c r="G46" s="440" t="s">
        <v>937</v>
      </c>
      <c r="H46" s="440" t="s">
        <v>937</v>
      </c>
      <c r="I46" s="440" t="s">
        <v>937</v>
      </c>
      <c r="J46" s="440" t="s">
        <v>937</v>
      </c>
      <c r="K46" s="435"/>
      <c r="L46" s="436"/>
      <c r="M46" s="684"/>
    </row>
    <row r="47" spans="1:13" x14ac:dyDescent="0.25">
      <c r="A47" s="66"/>
      <c r="B47" s="437"/>
      <c r="C47" s="438"/>
      <c r="D47" s="446">
        <v>44.95</v>
      </c>
      <c r="E47" s="446" t="s">
        <v>940</v>
      </c>
      <c r="F47" s="440" t="s">
        <v>937</v>
      </c>
      <c r="G47" s="440" t="s">
        <v>937</v>
      </c>
      <c r="H47" s="440" t="s">
        <v>937</v>
      </c>
      <c r="I47" s="440" t="s">
        <v>937</v>
      </c>
      <c r="J47" s="440" t="s">
        <v>937</v>
      </c>
      <c r="K47" s="435"/>
      <c r="L47" s="436"/>
      <c r="M47" s="684"/>
    </row>
    <row r="48" spans="1:13" x14ac:dyDescent="0.25">
      <c r="A48" s="66"/>
      <c r="B48" s="437"/>
      <c r="C48" s="438"/>
      <c r="D48" s="446"/>
      <c r="E48" s="446"/>
      <c r="F48" s="440"/>
      <c r="G48" s="440"/>
      <c r="H48" s="440"/>
      <c r="I48" s="440"/>
      <c r="J48" s="440"/>
      <c r="K48" s="435"/>
      <c r="L48" s="436"/>
      <c r="M48" s="684"/>
    </row>
    <row r="49" spans="1:13" x14ac:dyDescent="0.25">
      <c r="A49" s="66"/>
      <c r="B49" s="437"/>
      <c r="C49" s="438"/>
      <c r="D49" s="446">
        <v>51.95</v>
      </c>
      <c r="E49" s="446" t="s">
        <v>936</v>
      </c>
      <c r="F49" s="440" t="s">
        <v>937</v>
      </c>
      <c r="G49" s="440" t="s">
        <v>937</v>
      </c>
      <c r="H49" s="440" t="s">
        <v>937</v>
      </c>
      <c r="I49" s="440" t="s">
        <v>937</v>
      </c>
      <c r="J49" s="440" t="s">
        <v>937</v>
      </c>
      <c r="K49" s="435">
        <v>25</v>
      </c>
      <c r="L49" s="436">
        <f>K49*A35</f>
        <v>25</v>
      </c>
      <c r="M49" s="684">
        <f>K49-L49</f>
        <v>0</v>
      </c>
    </row>
    <row r="50" spans="1:13" x14ac:dyDescent="0.25">
      <c r="A50" s="66"/>
      <c r="B50" s="437"/>
      <c r="C50" s="438"/>
      <c r="D50" s="446">
        <v>52.95</v>
      </c>
      <c r="E50" s="446" t="s">
        <v>938</v>
      </c>
      <c r="F50" s="440" t="s">
        <v>937</v>
      </c>
      <c r="G50" s="440" t="s">
        <v>937</v>
      </c>
      <c r="H50" s="440" t="s">
        <v>937</v>
      </c>
      <c r="I50" s="440" t="s">
        <v>937</v>
      </c>
      <c r="J50" s="440" t="s">
        <v>937</v>
      </c>
      <c r="K50" s="435"/>
      <c r="L50" s="436">
        <f>COUNTIF(F49:J53,"Father")</f>
        <v>25</v>
      </c>
      <c r="M50" s="684">
        <f>COUNTIF(F49:J53,"Mother")</f>
        <v>0</v>
      </c>
    </row>
    <row r="51" spans="1:13" x14ac:dyDescent="0.25">
      <c r="A51" s="66"/>
      <c r="B51" s="437"/>
      <c r="C51" s="438"/>
      <c r="D51" s="446">
        <v>53.95</v>
      </c>
      <c r="E51" s="446" t="s">
        <v>939</v>
      </c>
      <c r="F51" s="440" t="s">
        <v>937</v>
      </c>
      <c r="G51" s="440" t="s">
        <v>937</v>
      </c>
      <c r="H51" s="440" t="s">
        <v>937</v>
      </c>
      <c r="I51" s="440" t="s">
        <v>937</v>
      </c>
      <c r="J51" s="440" t="s">
        <v>937</v>
      </c>
      <c r="K51" s="435"/>
      <c r="L51" s="436"/>
      <c r="M51" s="684"/>
    </row>
    <row r="52" spans="1:13" x14ac:dyDescent="0.25">
      <c r="A52" s="66"/>
      <c r="B52" s="437"/>
      <c r="C52" s="438"/>
      <c r="D52" s="446">
        <v>54.95</v>
      </c>
      <c r="E52" s="446" t="s">
        <v>940</v>
      </c>
      <c r="F52" s="440" t="s">
        <v>937</v>
      </c>
      <c r="G52" s="440" t="s">
        <v>937</v>
      </c>
      <c r="H52" s="440" t="s">
        <v>937</v>
      </c>
      <c r="I52" s="440" t="s">
        <v>937</v>
      </c>
      <c r="J52" s="440" t="s">
        <v>937</v>
      </c>
      <c r="K52" s="435"/>
      <c r="L52" s="436"/>
      <c r="M52" s="684"/>
    </row>
    <row r="53" spans="1:13" x14ac:dyDescent="0.25">
      <c r="A53" s="66"/>
      <c r="B53" s="437"/>
      <c r="C53" s="438"/>
      <c r="D53" s="446">
        <v>55.95</v>
      </c>
      <c r="E53" s="446" t="s">
        <v>941</v>
      </c>
      <c r="F53" s="440" t="s">
        <v>937</v>
      </c>
      <c r="G53" s="440" t="s">
        <v>937</v>
      </c>
      <c r="H53" s="440" t="s">
        <v>937</v>
      </c>
      <c r="I53" s="440" t="s">
        <v>937</v>
      </c>
      <c r="J53" s="440" t="s">
        <v>937</v>
      </c>
      <c r="K53" s="435"/>
      <c r="L53" s="436"/>
      <c r="M53" s="684"/>
    </row>
    <row r="54" spans="1:13" x14ac:dyDescent="0.25">
      <c r="A54" s="66"/>
      <c r="B54" s="437"/>
      <c r="C54" s="438"/>
      <c r="D54" s="446"/>
      <c r="E54" s="446"/>
      <c r="F54" s="440"/>
      <c r="G54" s="440"/>
      <c r="H54" s="440"/>
      <c r="I54" s="440"/>
      <c r="J54" s="440"/>
      <c r="K54" s="435"/>
      <c r="L54" s="436"/>
      <c r="M54" s="684"/>
    </row>
    <row r="55" spans="1:13" x14ac:dyDescent="0.25">
      <c r="A55" s="66"/>
      <c r="B55" s="437"/>
      <c r="C55" s="438"/>
      <c r="D55" s="446">
        <v>61.95</v>
      </c>
      <c r="E55" s="446" t="s">
        <v>936</v>
      </c>
      <c r="F55" s="440" t="s">
        <v>937</v>
      </c>
      <c r="G55" s="440" t="s">
        <v>937</v>
      </c>
      <c r="H55" s="440" t="s">
        <v>937</v>
      </c>
      <c r="I55" s="440" t="s">
        <v>937</v>
      </c>
      <c r="J55" s="440" t="s">
        <v>937</v>
      </c>
      <c r="K55" s="435">
        <v>30</v>
      </c>
      <c r="L55" s="436">
        <f>K55*A35</f>
        <v>30</v>
      </c>
      <c r="M55" s="684">
        <f>K55-L55</f>
        <v>0</v>
      </c>
    </row>
    <row r="56" spans="1:13" x14ac:dyDescent="0.25">
      <c r="A56" s="66"/>
      <c r="B56" s="437"/>
      <c r="C56" s="438"/>
      <c r="D56" s="446">
        <v>62.95</v>
      </c>
      <c r="E56" s="446" t="s">
        <v>938</v>
      </c>
      <c r="F56" s="440" t="s">
        <v>937</v>
      </c>
      <c r="G56" s="440" t="s">
        <v>937</v>
      </c>
      <c r="H56" s="440" t="s">
        <v>937</v>
      </c>
      <c r="I56" s="440" t="s">
        <v>937</v>
      </c>
      <c r="J56" s="440" t="s">
        <v>937</v>
      </c>
      <c r="K56" s="435"/>
      <c r="L56" s="436">
        <f>COUNTIF(F55:J60,"Father")</f>
        <v>30</v>
      </c>
      <c r="M56" s="684">
        <f>COUNTIF(F55:J60,"Mother")</f>
        <v>0</v>
      </c>
    </row>
    <row r="57" spans="1:13" x14ac:dyDescent="0.25">
      <c r="A57" s="66"/>
      <c r="B57" s="437"/>
      <c r="C57" s="438"/>
      <c r="D57" s="446">
        <v>63.95</v>
      </c>
      <c r="E57" s="446" t="s">
        <v>939</v>
      </c>
      <c r="F57" s="440" t="s">
        <v>937</v>
      </c>
      <c r="G57" s="440" t="s">
        <v>937</v>
      </c>
      <c r="H57" s="440" t="s">
        <v>937</v>
      </c>
      <c r="I57" s="440" t="s">
        <v>937</v>
      </c>
      <c r="J57" s="440" t="s">
        <v>937</v>
      </c>
      <c r="K57" s="435"/>
      <c r="L57" s="436"/>
      <c r="M57" s="684"/>
    </row>
    <row r="58" spans="1:13" x14ac:dyDescent="0.25">
      <c r="A58" s="66"/>
      <c r="B58" s="437"/>
      <c r="C58" s="438"/>
      <c r="D58" s="446">
        <v>64.95</v>
      </c>
      <c r="E58" s="446" t="s">
        <v>940</v>
      </c>
      <c r="F58" s="440" t="s">
        <v>937</v>
      </c>
      <c r="G58" s="440" t="s">
        <v>937</v>
      </c>
      <c r="H58" s="440" t="s">
        <v>937</v>
      </c>
      <c r="I58" s="440" t="s">
        <v>937</v>
      </c>
      <c r="J58" s="440" t="s">
        <v>937</v>
      </c>
      <c r="K58" s="435"/>
      <c r="L58" s="436"/>
      <c r="M58" s="684"/>
    </row>
    <row r="59" spans="1:13" x14ac:dyDescent="0.25">
      <c r="A59" s="66"/>
      <c r="B59" s="437"/>
      <c r="C59" s="438"/>
      <c r="D59" s="446">
        <v>65.95</v>
      </c>
      <c r="E59" s="446" t="s">
        <v>941</v>
      </c>
      <c r="F59" s="440" t="s">
        <v>937</v>
      </c>
      <c r="G59" s="440" t="s">
        <v>937</v>
      </c>
      <c r="H59" s="440" t="s">
        <v>937</v>
      </c>
      <c r="I59" s="440" t="s">
        <v>937</v>
      </c>
      <c r="J59" s="440" t="s">
        <v>937</v>
      </c>
      <c r="K59" s="435"/>
      <c r="L59" s="436"/>
      <c r="M59" s="684"/>
    </row>
    <row r="60" spans="1:13" x14ac:dyDescent="0.25">
      <c r="A60" s="66"/>
      <c r="B60" s="437"/>
      <c r="C60" s="438"/>
      <c r="D60" s="439">
        <v>66.95</v>
      </c>
      <c r="E60" s="439" t="s">
        <v>942</v>
      </c>
      <c r="F60" s="440" t="s">
        <v>937</v>
      </c>
      <c r="G60" s="440" t="s">
        <v>937</v>
      </c>
      <c r="H60" s="440" t="s">
        <v>937</v>
      </c>
      <c r="I60" s="440" t="s">
        <v>937</v>
      </c>
      <c r="J60" s="440" t="s">
        <v>937</v>
      </c>
      <c r="K60" s="66"/>
      <c r="L60" s="432"/>
      <c r="M60" s="624"/>
    </row>
    <row r="61" spans="1:13" x14ac:dyDescent="0.25">
      <c r="A61" s="848"/>
      <c r="B61" s="849"/>
      <c r="C61" s="850"/>
      <c r="D61" s="854"/>
      <c r="E61" s="854"/>
      <c r="F61" s="852"/>
      <c r="G61" s="852"/>
      <c r="H61" s="852"/>
      <c r="I61" s="852"/>
      <c r="J61" s="852"/>
      <c r="K61" s="848"/>
      <c r="L61" s="855"/>
      <c r="M61" s="856"/>
    </row>
    <row r="62" spans="1:13" x14ac:dyDescent="0.25">
      <c r="A62" s="66"/>
      <c r="B62" s="437"/>
      <c r="C62" s="447"/>
      <c r="D62" s="437"/>
      <c r="E62" s="448"/>
      <c r="F62" s="440"/>
      <c r="G62" s="440"/>
      <c r="H62" s="440"/>
      <c r="I62" s="440"/>
      <c r="J62" s="440"/>
      <c r="K62" s="66"/>
      <c r="L62" s="432"/>
      <c r="M62" s="624"/>
    </row>
    <row r="63" spans="1:13" x14ac:dyDescent="0.25">
      <c r="A63" s="449">
        <v>0.8</v>
      </c>
      <c r="B63" s="450">
        <v>0.8</v>
      </c>
      <c r="C63" s="451" t="s">
        <v>943</v>
      </c>
      <c r="D63" s="446">
        <v>11.8</v>
      </c>
      <c r="E63" s="446" t="s">
        <v>936</v>
      </c>
      <c r="F63" s="446" t="s">
        <v>937</v>
      </c>
      <c r="G63" s="450" t="s">
        <v>937</v>
      </c>
      <c r="H63" s="450" t="s">
        <v>937</v>
      </c>
      <c r="I63" s="450" t="s">
        <v>937</v>
      </c>
      <c r="J63" s="450" t="s">
        <v>944</v>
      </c>
      <c r="K63" s="684">
        <v>5</v>
      </c>
      <c r="L63" s="436">
        <f>K63*A63</f>
        <v>4</v>
      </c>
      <c r="M63" s="684">
        <f>K63-L63</f>
        <v>1</v>
      </c>
    </row>
    <row r="64" spans="1:13" x14ac:dyDescent="0.25">
      <c r="A64" s="684"/>
      <c r="B64" s="450"/>
      <c r="C64" s="449"/>
      <c r="D64" s="446"/>
      <c r="E64" s="446"/>
      <c r="F64" s="446"/>
      <c r="G64" s="450"/>
      <c r="H64" s="450"/>
      <c r="I64" s="450"/>
      <c r="J64" s="450"/>
      <c r="K64" s="684"/>
      <c r="L64" s="424"/>
      <c r="M64" s="684"/>
    </row>
    <row r="65" spans="1:13" x14ac:dyDescent="0.25">
      <c r="A65" s="684"/>
      <c r="B65" s="450"/>
      <c r="C65" s="449"/>
      <c r="D65" s="446">
        <v>21.8</v>
      </c>
      <c r="E65" s="446" t="s">
        <v>936</v>
      </c>
      <c r="F65" s="446" t="s">
        <v>937</v>
      </c>
      <c r="G65" s="452" t="s">
        <v>937</v>
      </c>
      <c r="H65" s="450" t="s">
        <v>937</v>
      </c>
      <c r="I65" s="452" t="s">
        <v>937</v>
      </c>
      <c r="J65" s="450" t="s">
        <v>937</v>
      </c>
      <c r="K65" s="684">
        <v>10</v>
      </c>
      <c r="L65" s="436">
        <f>K65*A63</f>
        <v>8</v>
      </c>
      <c r="M65" s="684">
        <f>K65-L65</f>
        <v>2</v>
      </c>
    </row>
    <row r="66" spans="1:13" x14ac:dyDescent="0.25">
      <c r="A66" s="684"/>
      <c r="B66" s="450"/>
      <c r="C66" s="449"/>
      <c r="D66" s="446">
        <v>22.8</v>
      </c>
      <c r="E66" s="446" t="s">
        <v>938</v>
      </c>
      <c r="F66" s="446" t="s">
        <v>937</v>
      </c>
      <c r="G66" s="452" t="s">
        <v>944</v>
      </c>
      <c r="H66" s="450" t="s">
        <v>937</v>
      </c>
      <c r="I66" s="452" t="s">
        <v>944</v>
      </c>
      <c r="J66" s="450" t="s">
        <v>937</v>
      </c>
      <c r="K66" s="684"/>
      <c r="L66" s="424">
        <f>COUNTIF(F65:J66,"Father")</f>
        <v>8</v>
      </c>
      <c r="M66" s="684">
        <f>COUNTIF(F65:J66,"Mother")</f>
        <v>2</v>
      </c>
    </row>
    <row r="67" spans="1:13" x14ac:dyDescent="0.25">
      <c r="A67" s="684"/>
      <c r="B67" s="450"/>
      <c r="C67" s="449"/>
      <c r="D67" s="446"/>
      <c r="E67" s="446"/>
      <c r="F67" s="446"/>
      <c r="G67" s="450"/>
      <c r="H67" s="450"/>
      <c r="I67" s="450"/>
      <c r="J67" s="450"/>
      <c r="K67" s="684"/>
      <c r="L67" s="424"/>
      <c r="M67" s="684"/>
    </row>
    <row r="68" spans="1:13" x14ac:dyDescent="0.25">
      <c r="A68" s="684"/>
      <c r="B68" s="450"/>
      <c r="C68" s="449"/>
      <c r="D68" s="446">
        <v>31.8</v>
      </c>
      <c r="E68" s="446" t="s">
        <v>936</v>
      </c>
      <c r="F68" s="453" t="s">
        <v>937</v>
      </c>
      <c r="G68" s="450" t="s">
        <v>937</v>
      </c>
      <c r="H68" s="453" t="s">
        <v>937</v>
      </c>
      <c r="I68" s="450" t="s">
        <v>937</v>
      </c>
      <c r="J68" s="453" t="s">
        <v>937</v>
      </c>
      <c r="K68" s="684">
        <v>15</v>
      </c>
      <c r="L68" s="424">
        <f>K68*A63</f>
        <v>12</v>
      </c>
      <c r="M68" s="684">
        <f>K68-L68</f>
        <v>3</v>
      </c>
    </row>
    <row r="69" spans="1:13" x14ac:dyDescent="0.25">
      <c r="A69" s="684"/>
      <c r="B69" s="450"/>
      <c r="C69" s="449"/>
      <c r="D69" s="446">
        <v>32.799999999999997</v>
      </c>
      <c r="E69" s="446" t="s">
        <v>938</v>
      </c>
      <c r="F69" s="446" t="s">
        <v>937</v>
      </c>
      <c r="G69" s="450" t="s">
        <v>937</v>
      </c>
      <c r="H69" s="446" t="s">
        <v>937</v>
      </c>
      <c r="I69" s="450" t="s">
        <v>937</v>
      </c>
      <c r="J69" s="446" t="s">
        <v>937</v>
      </c>
      <c r="K69" s="684"/>
      <c r="L69" s="424">
        <f>COUNTIF(F68:J70,"Father")</f>
        <v>12</v>
      </c>
      <c r="M69" s="684">
        <f>COUNTIF(F68:J70,"Mother")</f>
        <v>3</v>
      </c>
    </row>
    <row r="70" spans="1:13" x14ac:dyDescent="0.25">
      <c r="A70" s="684"/>
      <c r="B70" s="450"/>
      <c r="C70" s="449"/>
      <c r="D70" s="446">
        <v>33.799999999999997</v>
      </c>
      <c r="E70" s="446" t="s">
        <v>939</v>
      </c>
      <c r="F70" s="453" t="s">
        <v>944</v>
      </c>
      <c r="G70" s="450" t="s">
        <v>937</v>
      </c>
      <c r="H70" s="453" t="s">
        <v>944</v>
      </c>
      <c r="I70" s="450" t="s">
        <v>937</v>
      </c>
      <c r="J70" s="453" t="s">
        <v>944</v>
      </c>
      <c r="K70" s="684"/>
      <c r="L70" s="424"/>
      <c r="M70" s="684"/>
    </row>
    <row r="71" spans="1:13" x14ac:dyDescent="0.25">
      <c r="A71" s="684"/>
      <c r="B71" s="450"/>
      <c r="C71" s="449"/>
      <c r="D71" s="446"/>
      <c r="E71" s="446"/>
      <c r="F71" s="446"/>
      <c r="G71" s="450"/>
      <c r="H71" s="450"/>
      <c r="I71" s="450"/>
      <c r="J71" s="450"/>
      <c r="K71" s="684"/>
      <c r="L71" s="424"/>
      <c r="M71" s="684"/>
    </row>
    <row r="72" spans="1:13" x14ac:dyDescent="0.25">
      <c r="A72" s="684"/>
      <c r="B72" s="450"/>
      <c r="C72" s="449"/>
      <c r="D72" s="446">
        <v>41.8</v>
      </c>
      <c r="E72" s="446" t="s">
        <v>936</v>
      </c>
      <c r="F72" s="453" t="s">
        <v>937</v>
      </c>
      <c r="G72" s="453" t="s">
        <v>937</v>
      </c>
      <c r="H72" s="452" t="s">
        <v>937</v>
      </c>
      <c r="I72" s="453" t="s">
        <v>937</v>
      </c>
      <c r="J72" s="446" t="s">
        <v>937</v>
      </c>
      <c r="K72" s="684">
        <v>20</v>
      </c>
      <c r="L72" s="424">
        <f>K72*A63</f>
        <v>16</v>
      </c>
      <c r="M72" s="684">
        <f>K72-L72</f>
        <v>4</v>
      </c>
    </row>
    <row r="73" spans="1:13" x14ac:dyDescent="0.25">
      <c r="A73" s="684"/>
      <c r="B73" s="450"/>
      <c r="C73" s="449"/>
      <c r="D73" s="446">
        <v>42.8</v>
      </c>
      <c r="E73" s="446" t="s">
        <v>938</v>
      </c>
      <c r="F73" s="446" t="s">
        <v>937</v>
      </c>
      <c r="G73" s="450" t="s">
        <v>937</v>
      </c>
      <c r="H73" s="446" t="s">
        <v>937</v>
      </c>
      <c r="I73" s="446" t="s">
        <v>937</v>
      </c>
      <c r="J73" s="446" t="s">
        <v>937</v>
      </c>
      <c r="K73" s="684"/>
      <c r="L73" s="424">
        <f>COUNTIF(F72:J75,"Father")</f>
        <v>16</v>
      </c>
      <c r="M73" s="684">
        <f>COUNTIF(F72:J75,"Mother")</f>
        <v>4</v>
      </c>
    </row>
    <row r="74" spans="1:13" x14ac:dyDescent="0.25">
      <c r="A74" s="684"/>
      <c r="B74" s="450"/>
      <c r="C74" s="449"/>
      <c r="D74" s="446">
        <v>43.8</v>
      </c>
      <c r="E74" s="446" t="s">
        <v>939</v>
      </c>
      <c r="F74" s="446" t="s">
        <v>937</v>
      </c>
      <c r="G74" s="450" t="s">
        <v>937</v>
      </c>
      <c r="H74" s="446" t="s">
        <v>937</v>
      </c>
      <c r="I74" s="446" t="s">
        <v>937</v>
      </c>
      <c r="J74" s="446" t="s">
        <v>937</v>
      </c>
      <c r="K74" s="684"/>
      <c r="L74" s="424"/>
      <c r="M74" s="684"/>
    </row>
    <row r="75" spans="1:13" x14ac:dyDescent="0.25">
      <c r="A75" s="684"/>
      <c r="B75" s="450"/>
      <c r="C75" s="449"/>
      <c r="D75" s="446">
        <v>44.8</v>
      </c>
      <c r="E75" s="446" t="s">
        <v>940</v>
      </c>
      <c r="F75" s="453" t="s">
        <v>944</v>
      </c>
      <c r="G75" s="452" t="s">
        <v>944</v>
      </c>
      <c r="H75" s="453" t="s">
        <v>944</v>
      </c>
      <c r="I75" s="453" t="s">
        <v>944</v>
      </c>
      <c r="J75" s="446" t="s">
        <v>937</v>
      </c>
      <c r="K75" s="684"/>
      <c r="L75" s="424"/>
      <c r="M75" s="684"/>
    </row>
    <row r="76" spans="1:13" x14ac:dyDescent="0.25">
      <c r="A76" s="684"/>
      <c r="B76" s="450"/>
      <c r="C76" s="449"/>
      <c r="D76" s="446"/>
      <c r="E76" s="446"/>
      <c r="F76" s="446"/>
      <c r="G76" s="450"/>
      <c r="H76" s="450"/>
      <c r="I76" s="450"/>
      <c r="J76" s="450"/>
      <c r="K76" s="684"/>
      <c r="L76" s="424"/>
      <c r="M76" s="684"/>
    </row>
    <row r="77" spans="1:13" x14ac:dyDescent="0.25">
      <c r="A77" s="684"/>
      <c r="B77" s="450"/>
      <c r="C77" s="449"/>
      <c r="D77" s="446">
        <v>51.8</v>
      </c>
      <c r="E77" s="446" t="s">
        <v>936</v>
      </c>
      <c r="F77" s="446" t="s">
        <v>937</v>
      </c>
      <c r="G77" s="446" t="s">
        <v>937</v>
      </c>
      <c r="H77" s="446" t="s">
        <v>937</v>
      </c>
      <c r="I77" s="446" t="s">
        <v>937</v>
      </c>
      <c r="J77" s="446" t="s">
        <v>937</v>
      </c>
      <c r="K77" s="684">
        <v>25</v>
      </c>
      <c r="L77" s="424">
        <f>K77*A63</f>
        <v>20</v>
      </c>
      <c r="M77" s="684">
        <f>K77-L77</f>
        <v>5</v>
      </c>
    </row>
    <row r="78" spans="1:13" x14ac:dyDescent="0.25">
      <c r="A78" s="684"/>
      <c r="B78" s="450"/>
      <c r="C78" s="449"/>
      <c r="D78" s="446">
        <v>52.8</v>
      </c>
      <c r="E78" s="446" t="s">
        <v>938</v>
      </c>
      <c r="F78" s="446" t="s">
        <v>937</v>
      </c>
      <c r="G78" s="446" t="s">
        <v>937</v>
      </c>
      <c r="H78" s="446" t="s">
        <v>937</v>
      </c>
      <c r="I78" s="446" t="s">
        <v>937</v>
      </c>
      <c r="J78" s="446" t="s">
        <v>937</v>
      </c>
      <c r="K78" s="684"/>
      <c r="L78" s="424">
        <f>COUNTIF(F77:J81,"Father")</f>
        <v>20</v>
      </c>
      <c r="M78" s="684">
        <f>COUNTIF(F77:J81,"Mother")</f>
        <v>5</v>
      </c>
    </row>
    <row r="79" spans="1:13" x14ac:dyDescent="0.25">
      <c r="A79" s="684"/>
      <c r="B79" s="450"/>
      <c r="C79" s="449"/>
      <c r="D79" s="446">
        <v>53.8</v>
      </c>
      <c r="E79" s="446" t="s">
        <v>939</v>
      </c>
      <c r="F79" s="446" t="s">
        <v>944</v>
      </c>
      <c r="G79" s="446" t="s">
        <v>944</v>
      </c>
      <c r="H79" s="446" t="s">
        <v>944</v>
      </c>
      <c r="I79" s="446" t="s">
        <v>944</v>
      </c>
      <c r="J79" s="446" t="s">
        <v>944</v>
      </c>
      <c r="K79" s="684"/>
      <c r="L79" s="424"/>
      <c r="M79" s="684"/>
    </row>
    <row r="80" spans="1:13" x14ac:dyDescent="0.25">
      <c r="A80" s="684"/>
      <c r="B80" s="450"/>
      <c r="C80" s="449"/>
      <c r="D80" s="446">
        <v>54.8</v>
      </c>
      <c r="E80" s="446" t="s">
        <v>940</v>
      </c>
      <c r="F80" s="446" t="s">
        <v>937</v>
      </c>
      <c r="G80" s="446" t="s">
        <v>937</v>
      </c>
      <c r="H80" s="446" t="s">
        <v>937</v>
      </c>
      <c r="I80" s="446" t="s">
        <v>937</v>
      </c>
      <c r="J80" s="446" t="s">
        <v>937</v>
      </c>
      <c r="K80" s="684"/>
      <c r="L80" s="424"/>
      <c r="M80" s="684"/>
    </row>
    <row r="81" spans="1:13" x14ac:dyDescent="0.25">
      <c r="A81" s="684"/>
      <c r="B81" s="450"/>
      <c r="C81" s="449"/>
      <c r="D81" s="446">
        <v>55.8</v>
      </c>
      <c r="E81" s="446" t="s">
        <v>941</v>
      </c>
      <c r="F81" s="446" t="s">
        <v>937</v>
      </c>
      <c r="G81" s="446" t="s">
        <v>937</v>
      </c>
      <c r="H81" s="446" t="s">
        <v>937</v>
      </c>
      <c r="I81" s="446" t="s">
        <v>937</v>
      </c>
      <c r="J81" s="446" t="s">
        <v>937</v>
      </c>
      <c r="K81" s="684"/>
      <c r="L81" s="424"/>
      <c r="M81" s="684"/>
    </row>
    <row r="82" spans="1:13" x14ac:dyDescent="0.25">
      <c r="A82" s="684"/>
      <c r="B82" s="450"/>
      <c r="C82" s="449"/>
      <c r="D82" s="446"/>
      <c r="E82" s="446"/>
      <c r="F82" s="446"/>
      <c r="G82" s="450"/>
      <c r="H82" s="450"/>
      <c r="I82" s="450"/>
      <c r="J82" s="450"/>
      <c r="K82" s="684"/>
      <c r="L82" s="424"/>
      <c r="M82" s="684"/>
    </row>
    <row r="83" spans="1:13" x14ac:dyDescent="0.25">
      <c r="A83" s="684"/>
      <c r="B83" s="450"/>
      <c r="C83" s="449"/>
      <c r="D83" s="446">
        <v>61.8</v>
      </c>
      <c r="E83" s="446" t="s">
        <v>936</v>
      </c>
      <c r="F83" s="446" t="s">
        <v>937</v>
      </c>
      <c r="G83" s="446" t="s">
        <v>937</v>
      </c>
      <c r="H83" s="446" t="s">
        <v>937</v>
      </c>
      <c r="I83" s="446" t="s">
        <v>937</v>
      </c>
      <c r="J83" s="446" t="s">
        <v>937</v>
      </c>
      <c r="K83" s="684">
        <v>30</v>
      </c>
      <c r="L83" s="424">
        <f>K83*A63</f>
        <v>24</v>
      </c>
      <c r="M83" s="684">
        <f>K83-L83</f>
        <v>6</v>
      </c>
    </row>
    <row r="84" spans="1:13" x14ac:dyDescent="0.25">
      <c r="A84" s="684"/>
      <c r="B84" s="450"/>
      <c r="C84" s="449"/>
      <c r="D84" s="446">
        <v>62.8</v>
      </c>
      <c r="E84" s="446" t="s">
        <v>938</v>
      </c>
      <c r="F84" s="446" t="s">
        <v>937</v>
      </c>
      <c r="G84" s="446" t="s">
        <v>937</v>
      </c>
      <c r="H84" s="453" t="s">
        <v>937</v>
      </c>
      <c r="I84" s="446" t="s">
        <v>937</v>
      </c>
      <c r="J84" s="446" t="s">
        <v>937</v>
      </c>
      <c r="K84" s="684"/>
      <c r="L84" s="424">
        <f>COUNTIF(F83:J88,"Father")</f>
        <v>24</v>
      </c>
      <c r="M84" s="684">
        <f>COUNTIF(F83:J88,"Mother")</f>
        <v>6</v>
      </c>
    </row>
    <row r="85" spans="1:13" x14ac:dyDescent="0.25">
      <c r="A85" s="684"/>
      <c r="B85" s="450"/>
      <c r="C85" s="449"/>
      <c r="D85" s="446">
        <v>63.8</v>
      </c>
      <c r="E85" s="446" t="s">
        <v>939</v>
      </c>
      <c r="F85" s="439" t="s">
        <v>944</v>
      </c>
      <c r="G85" s="439" t="s">
        <v>944</v>
      </c>
      <c r="H85" s="439" t="s">
        <v>944</v>
      </c>
      <c r="I85" s="439" t="s">
        <v>944</v>
      </c>
      <c r="J85" s="439" t="s">
        <v>944</v>
      </c>
      <c r="K85" s="684"/>
      <c r="L85" s="424"/>
      <c r="M85" s="684"/>
    </row>
    <row r="86" spans="1:13" x14ac:dyDescent="0.25">
      <c r="A86" s="684"/>
      <c r="B86" s="450"/>
      <c r="C86" s="449"/>
      <c r="D86" s="446">
        <v>64.8</v>
      </c>
      <c r="E86" s="446" t="s">
        <v>940</v>
      </c>
      <c r="F86" s="446" t="s">
        <v>937</v>
      </c>
      <c r="G86" s="446" t="s">
        <v>937</v>
      </c>
      <c r="H86" s="446" t="s">
        <v>937</v>
      </c>
      <c r="I86" s="446" t="s">
        <v>937</v>
      </c>
      <c r="J86" s="446" t="s">
        <v>937</v>
      </c>
      <c r="K86" s="684"/>
      <c r="L86" s="424"/>
      <c r="M86" s="684"/>
    </row>
    <row r="87" spans="1:13" x14ac:dyDescent="0.25">
      <c r="A87" s="684"/>
      <c r="B87" s="450"/>
      <c r="C87" s="449"/>
      <c r="D87" s="446">
        <v>65.8</v>
      </c>
      <c r="E87" s="446" t="s">
        <v>941</v>
      </c>
      <c r="F87" s="446" t="s">
        <v>937</v>
      </c>
      <c r="G87" s="446" t="s">
        <v>937</v>
      </c>
      <c r="H87" s="453" t="s">
        <v>937</v>
      </c>
      <c r="I87" s="446" t="s">
        <v>937</v>
      </c>
      <c r="J87" s="446" t="s">
        <v>937</v>
      </c>
      <c r="K87" s="684"/>
      <c r="L87" s="424"/>
      <c r="M87" s="684"/>
    </row>
    <row r="88" spans="1:13" x14ac:dyDescent="0.25">
      <c r="A88" s="632"/>
      <c r="B88" s="454"/>
      <c r="C88" s="442"/>
      <c r="D88" s="455">
        <v>66.8</v>
      </c>
      <c r="E88" s="455" t="s">
        <v>942</v>
      </c>
      <c r="F88" s="455" t="s">
        <v>937</v>
      </c>
      <c r="G88" s="455" t="s">
        <v>937</v>
      </c>
      <c r="H88" s="456" t="s">
        <v>937</v>
      </c>
      <c r="I88" s="455" t="s">
        <v>937</v>
      </c>
      <c r="J88" s="456" t="s">
        <v>944</v>
      </c>
      <c r="K88" s="632"/>
      <c r="L88" s="457"/>
      <c r="M88" s="632"/>
    </row>
    <row r="89" spans="1:13" x14ac:dyDescent="0.25">
      <c r="A89" s="624"/>
      <c r="B89" s="437"/>
      <c r="C89" s="447"/>
      <c r="D89" s="439"/>
      <c r="E89" s="439"/>
      <c r="F89" s="439"/>
      <c r="G89" s="439"/>
      <c r="H89" s="439"/>
      <c r="I89" s="439"/>
      <c r="J89" s="439"/>
      <c r="K89" s="624"/>
      <c r="L89" s="35"/>
      <c r="M89" s="624"/>
    </row>
    <row r="90" spans="1:13" x14ac:dyDescent="0.25">
      <c r="A90" s="458">
        <v>0.75</v>
      </c>
      <c r="B90" s="450">
        <v>0.75</v>
      </c>
      <c r="C90" s="716" t="s">
        <v>945</v>
      </c>
      <c r="D90" s="446">
        <v>11.75</v>
      </c>
      <c r="E90" s="446" t="s">
        <v>936</v>
      </c>
      <c r="F90" s="446" t="s">
        <v>937</v>
      </c>
      <c r="G90" s="446" t="s">
        <v>937</v>
      </c>
      <c r="H90" s="446" t="s">
        <v>937</v>
      </c>
      <c r="I90" s="446" t="s">
        <v>944</v>
      </c>
      <c r="J90" s="439"/>
      <c r="K90" s="684">
        <v>4</v>
      </c>
      <c r="L90" s="424">
        <f>K90*A90</f>
        <v>3</v>
      </c>
      <c r="M90" s="684">
        <f>K90-L90</f>
        <v>1</v>
      </c>
    </row>
    <row r="91" spans="1:13" x14ac:dyDescent="0.25">
      <c r="A91" s="684"/>
      <c r="B91" s="450"/>
      <c r="C91" s="449"/>
      <c r="D91" s="446"/>
      <c r="E91" s="446"/>
      <c r="F91" s="446"/>
      <c r="G91" s="450"/>
      <c r="H91" s="450"/>
      <c r="I91" s="450"/>
      <c r="J91" s="439"/>
      <c r="K91" s="684"/>
      <c r="L91" s="424"/>
      <c r="M91" s="684"/>
    </row>
    <row r="92" spans="1:13" x14ac:dyDescent="0.25">
      <c r="A92" s="684"/>
      <c r="B92" s="450"/>
      <c r="C92" s="449"/>
      <c r="D92" s="446">
        <v>21.75</v>
      </c>
      <c r="E92" s="446" t="s">
        <v>936</v>
      </c>
      <c r="F92" s="446" t="s">
        <v>937</v>
      </c>
      <c r="G92" s="453" t="s">
        <v>937</v>
      </c>
      <c r="H92" s="446" t="s">
        <v>937</v>
      </c>
      <c r="I92" s="453" t="s">
        <v>937</v>
      </c>
      <c r="J92" s="439"/>
      <c r="K92" s="684">
        <v>8</v>
      </c>
      <c r="L92" s="424">
        <f>K92*A90</f>
        <v>6</v>
      </c>
      <c r="M92" s="684">
        <f>K92-L92</f>
        <v>2</v>
      </c>
    </row>
    <row r="93" spans="1:13" x14ac:dyDescent="0.25">
      <c r="A93" s="684"/>
      <c r="B93" s="450"/>
      <c r="C93" s="449"/>
      <c r="D93" s="446">
        <v>22.75</v>
      </c>
      <c r="E93" s="446" t="s">
        <v>938</v>
      </c>
      <c r="F93" s="446" t="s">
        <v>937</v>
      </c>
      <c r="G93" s="453" t="s">
        <v>944</v>
      </c>
      <c r="H93" s="446" t="s">
        <v>937</v>
      </c>
      <c r="I93" s="453" t="s">
        <v>944</v>
      </c>
      <c r="J93" s="439"/>
      <c r="K93" s="684"/>
      <c r="L93" s="424">
        <f>COUNTIF(F92:I93,"Father")</f>
        <v>6</v>
      </c>
      <c r="M93" s="684">
        <f>COUNTIF(F92:I93,"Mother")</f>
        <v>2</v>
      </c>
    </row>
    <row r="94" spans="1:13" x14ac:dyDescent="0.25">
      <c r="A94" s="684"/>
      <c r="B94" s="450"/>
      <c r="C94" s="449"/>
      <c r="D94" s="446"/>
      <c r="E94" s="446"/>
      <c r="F94" s="446"/>
      <c r="G94" s="450"/>
      <c r="H94" s="450"/>
      <c r="I94" s="450"/>
      <c r="J94" s="439"/>
      <c r="K94" s="684"/>
      <c r="L94" s="424"/>
      <c r="M94" s="684"/>
    </row>
    <row r="95" spans="1:13" x14ac:dyDescent="0.25">
      <c r="A95" s="684"/>
      <c r="B95" s="450"/>
      <c r="C95" s="449"/>
      <c r="D95" s="446">
        <v>31.75</v>
      </c>
      <c r="E95" s="446" t="s">
        <v>936</v>
      </c>
      <c r="F95" s="446" t="s">
        <v>937</v>
      </c>
      <c r="G95" s="450" t="s">
        <v>937</v>
      </c>
      <c r="H95" s="450" t="s">
        <v>937</v>
      </c>
      <c r="I95" s="450" t="s">
        <v>937</v>
      </c>
      <c r="J95" s="439"/>
      <c r="K95" s="684">
        <v>12</v>
      </c>
      <c r="L95" s="424">
        <f>K95*A90</f>
        <v>9</v>
      </c>
      <c r="M95" s="684">
        <f>K95-L95</f>
        <v>3</v>
      </c>
    </row>
    <row r="96" spans="1:13" x14ac:dyDescent="0.25">
      <c r="A96" s="684"/>
      <c r="B96" s="450"/>
      <c r="C96" s="449"/>
      <c r="D96" s="446">
        <v>32.75</v>
      </c>
      <c r="E96" s="446" t="s">
        <v>938</v>
      </c>
      <c r="F96" s="446" t="s">
        <v>937</v>
      </c>
      <c r="G96" s="450" t="s">
        <v>937</v>
      </c>
      <c r="H96" s="450" t="s">
        <v>937</v>
      </c>
      <c r="I96" s="450" t="s">
        <v>937</v>
      </c>
      <c r="J96" s="439"/>
      <c r="K96" s="684"/>
      <c r="L96" s="424">
        <f>COUNTIF(F95:I97,"Father")</f>
        <v>9</v>
      </c>
      <c r="M96" s="684">
        <f>COUNTIF(F95:I97,"Mother")</f>
        <v>3</v>
      </c>
    </row>
    <row r="97" spans="1:13" x14ac:dyDescent="0.25">
      <c r="A97" s="684"/>
      <c r="B97" s="450"/>
      <c r="C97" s="449"/>
      <c r="D97" s="446">
        <v>33.75</v>
      </c>
      <c r="E97" s="446" t="s">
        <v>939</v>
      </c>
      <c r="F97" s="446" t="s">
        <v>944</v>
      </c>
      <c r="G97" s="446" t="s">
        <v>944</v>
      </c>
      <c r="H97" s="446" t="s">
        <v>944</v>
      </c>
      <c r="I97" s="446" t="s">
        <v>937</v>
      </c>
      <c r="J97" s="439"/>
      <c r="K97" s="684"/>
      <c r="L97" s="424"/>
      <c r="M97" s="684"/>
    </row>
    <row r="98" spans="1:13" x14ac:dyDescent="0.25">
      <c r="A98" s="684"/>
      <c r="B98" s="450"/>
      <c r="C98" s="449"/>
      <c r="D98" s="446"/>
      <c r="E98" s="446"/>
      <c r="F98" s="446"/>
      <c r="G98" s="450"/>
      <c r="H98" s="450"/>
      <c r="I98" s="450"/>
      <c r="J98" s="439"/>
      <c r="K98" s="684"/>
      <c r="L98" s="424"/>
      <c r="M98" s="684"/>
    </row>
    <row r="99" spans="1:13" x14ac:dyDescent="0.25">
      <c r="A99" s="684"/>
      <c r="B99" s="450"/>
      <c r="C99" s="449"/>
      <c r="D99" s="446">
        <v>41.75</v>
      </c>
      <c r="E99" s="446" t="s">
        <v>936</v>
      </c>
      <c r="F99" s="450" t="s">
        <v>937</v>
      </c>
      <c r="G99" s="450" t="s">
        <v>937</v>
      </c>
      <c r="H99" s="450" t="s">
        <v>937</v>
      </c>
      <c r="I99" s="450" t="s">
        <v>937</v>
      </c>
      <c r="J99" s="439"/>
      <c r="K99" s="684">
        <v>16</v>
      </c>
      <c r="L99" s="424">
        <f>K99*A90</f>
        <v>12</v>
      </c>
      <c r="M99" s="684">
        <f>K99-L99</f>
        <v>4</v>
      </c>
    </row>
    <row r="100" spans="1:13" x14ac:dyDescent="0.25">
      <c r="A100" s="684"/>
      <c r="B100" s="450"/>
      <c r="C100" s="449"/>
      <c r="D100" s="446">
        <v>42.75</v>
      </c>
      <c r="E100" s="446" t="s">
        <v>938</v>
      </c>
      <c r="F100" s="450" t="s">
        <v>937</v>
      </c>
      <c r="G100" s="450" t="s">
        <v>937</v>
      </c>
      <c r="H100" s="450" t="s">
        <v>937</v>
      </c>
      <c r="I100" s="450" t="s">
        <v>937</v>
      </c>
      <c r="J100" s="437"/>
      <c r="K100" s="684"/>
      <c r="L100" s="424">
        <f>COUNTIF(F99:I102,"Father")</f>
        <v>12</v>
      </c>
      <c r="M100" s="684">
        <f>COUNTIF(F99:I102,"Mother")</f>
        <v>4</v>
      </c>
    </row>
    <row r="101" spans="1:13" x14ac:dyDescent="0.25">
      <c r="A101" s="684"/>
      <c r="B101" s="450"/>
      <c r="C101" s="449"/>
      <c r="D101" s="446">
        <v>43.75</v>
      </c>
      <c r="E101" s="446" t="s">
        <v>939</v>
      </c>
      <c r="F101" s="450" t="s">
        <v>937</v>
      </c>
      <c r="G101" s="450" t="s">
        <v>937</v>
      </c>
      <c r="H101" s="450" t="s">
        <v>937</v>
      </c>
      <c r="I101" s="450" t="s">
        <v>937</v>
      </c>
      <c r="J101" s="437"/>
      <c r="K101" s="684"/>
      <c r="L101" s="424"/>
      <c r="M101" s="684"/>
    </row>
    <row r="102" spans="1:13" x14ac:dyDescent="0.25">
      <c r="A102" s="684"/>
      <c r="B102" s="450"/>
      <c r="C102" s="449"/>
      <c r="D102" s="446">
        <v>44.75</v>
      </c>
      <c r="E102" s="446" t="s">
        <v>940</v>
      </c>
      <c r="F102" s="446" t="s">
        <v>944</v>
      </c>
      <c r="G102" s="446" t="s">
        <v>944</v>
      </c>
      <c r="H102" s="446" t="s">
        <v>944</v>
      </c>
      <c r="I102" s="446" t="s">
        <v>944</v>
      </c>
      <c r="J102" s="439"/>
      <c r="K102" s="684"/>
      <c r="L102" s="424"/>
      <c r="M102" s="684"/>
    </row>
    <row r="103" spans="1:13" x14ac:dyDescent="0.25">
      <c r="A103" s="684"/>
      <c r="B103" s="450"/>
      <c r="C103" s="449"/>
      <c r="D103" s="446"/>
      <c r="E103" s="446"/>
      <c r="F103" s="446"/>
      <c r="G103" s="450"/>
      <c r="H103" s="450"/>
      <c r="I103" s="450"/>
      <c r="J103" s="439"/>
      <c r="K103" s="684"/>
      <c r="L103" s="424"/>
      <c r="M103" s="684"/>
    </row>
    <row r="104" spans="1:13" x14ac:dyDescent="0.25">
      <c r="A104" s="684"/>
      <c r="B104" s="450"/>
      <c r="C104" s="449"/>
      <c r="D104" s="446">
        <v>51.75</v>
      </c>
      <c r="E104" s="446" t="s">
        <v>936</v>
      </c>
      <c r="F104" s="446" t="s">
        <v>937</v>
      </c>
      <c r="G104" s="446" t="s">
        <v>937</v>
      </c>
      <c r="H104" s="446" t="s">
        <v>937</v>
      </c>
      <c r="I104" s="446" t="s">
        <v>937</v>
      </c>
      <c r="J104" s="439"/>
      <c r="K104" s="684">
        <v>20</v>
      </c>
      <c r="L104" s="424">
        <f>K104*A90</f>
        <v>15</v>
      </c>
      <c r="M104" s="684">
        <f>K104-L104</f>
        <v>5</v>
      </c>
    </row>
    <row r="105" spans="1:13" x14ac:dyDescent="0.25">
      <c r="A105" s="684"/>
      <c r="B105" s="450"/>
      <c r="C105" s="449"/>
      <c r="D105" s="446">
        <v>52.75</v>
      </c>
      <c r="E105" s="446" t="s">
        <v>938</v>
      </c>
      <c r="F105" s="446" t="s">
        <v>937</v>
      </c>
      <c r="G105" s="446" t="s">
        <v>937</v>
      </c>
      <c r="H105" s="446" t="s">
        <v>937</v>
      </c>
      <c r="I105" s="453" t="s">
        <v>937</v>
      </c>
      <c r="J105" s="439"/>
      <c r="K105" s="684"/>
      <c r="L105" s="424">
        <f>COUNTIF(F104:I108,"Father")</f>
        <v>15</v>
      </c>
      <c r="M105" s="684">
        <f>COUNTIF(F104:I108,"Mother")</f>
        <v>5</v>
      </c>
    </row>
    <row r="106" spans="1:13" x14ac:dyDescent="0.25">
      <c r="A106" s="684"/>
      <c r="B106" s="450"/>
      <c r="C106" s="449"/>
      <c r="D106" s="446">
        <v>53.75</v>
      </c>
      <c r="E106" s="446" t="s">
        <v>939</v>
      </c>
      <c r="F106" s="446" t="s">
        <v>937</v>
      </c>
      <c r="G106" s="446" t="s">
        <v>937</v>
      </c>
      <c r="H106" s="446" t="s">
        <v>937</v>
      </c>
      <c r="I106" s="446" t="s">
        <v>937</v>
      </c>
      <c r="J106" s="439"/>
      <c r="K106" s="684"/>
      <c r="L106" s="424"/>
      <c r="M106" s="684"/>
    </row>
    <row r="107" spans="1:13" x14ac:dyDescent="0.25">
      <c r="A107" s="684"/>
      <c r="B107" s="450"/>
      <c r="C107" s="449"/>
      <c r="D107" s="446">
        <v>54.75</v>
      </c>
      <c r="E107" s="446" t="s">
        <v>940</v>
      </c>
      <c r="F107" s="453" t="s">
        <v>944</v>
      </c>
      <c r="G107" s="446" t="s">
        <v>937</v>
      </c>
      <c r="H107" s="446" t="s">
        <v>937</v>
      </c>
      <c r="I107" s="453" t="s">
        <v>937</v>
      </c>
      <c r="J107" s="439"/>
      <c r="K107" s="684"/>
      <c r="L107" s="424"/>
      <c r="M107" s="684"/>
    </row>
    <row r="108" spans="1:13" x14ac:dyDescent="0.25">
      <c r="A108" s="684"/>
      <c r="B108" s="450"/>
      <c r="C108" s="449"/>
      <c r="D108" s="446">
        <v>55.75</v>
      </c>
      <c r="E108" s="446" t="s">
        <v>941</v>
      </c>
      <c r="F108" s="446" t="s">
        <v>944</v>
      </c>
      <c r="G108" s="446" t="s">
        <v>944</v>
      </c>
      <c r="H108" s="446" t="s">
        <v>944</v>
      </c>
      <c r="I108" s="446" t="s">
        <v>944</v>
      </c>
      <c r="J108" s="439"/>
      <c r="K108" s="684"/>
      <c r="L108" s="424"/>
      <c r="M108" s="684"/>
    </row>
    <row r="109" spans="1:13" x14ac:dyDescent="0.25">
      <c r="A109" s="684"/>
      <c r="B109" s="450"/>
      <c r="C109" s="449"/>
      <c r="D109" s="446"/>
      <c r="E109" s="446"/>
      <c r="F109" s="446"/>
      <c r="G109" s="450"/>
      <c r="H109" s="450"/>
      <c r="I109" s="450"/>
      <c r="J109" s="439"/>
      <c r="K109" s="684"/>
      <c r="L109" s="424"/>
      <c r="M109" s="684"/>
    </row>
    <row r="110" spans="1:13" x14ac:dyDescent="0.25">
      <c r="A110" s="684"/>
      <c r="B110" s="450"/>
      <c r="C110" s="449"/>
      <c r="D110" s="446">
        <v>61.75</v>
      </c>
      <c r="E110" s="446" t="s">
        <v>936</v>
      </c>
      <c r="F110" s="446" t="s">
        <v>937</v>
      </c>
      <c r="G110" s="446" t="s">
        <v>937</v>
      </c>
      <c r="H110" s="446" t="s">
        <v>937</v>
      </c>
      <c r="I110" s="446" t="s">
        <v>937</v>
      </c>
      <c r="J110" s="439"/>
      <c r="K110" s="684">
        <v>24</v>
      </c>
      <c r="L110" s="424">
        <f>K110*A90</f>
        <v>18</v>
      </c>
      <c r="M110" s="684">
        <f>K110-L110</f>
        <v>6</v>
      </c>
    </row>
    <row r="111" spans="1:13" x14ac:dyDescent="0.25">
      <c r="A111" s="684"/>
      <c r="B111" s="450"/>
      <c r="C111" s="449"/>
      <c r="D111" s="446">
        <v>62.75</v>
      </c>
      <c r="E111" s="446" t="s">
        <v>938</v>
      </c>
      <c r="F111" s="453" t="s">
        <v>937</v>
      </c>
      <c r="G111" s="446" t="s">
        <v>937</v>
      </c>
      <c r="H111" s="453" t="s">
        <v>937</v>
      </c>
      <c r="I111" s="446" t="s">
        <v>937</v>
      </c>
      <c r="J111" s="439"/>
      <c r="K111" s="684"/>
      <c r="L111" s="424">
        <f>COUNTIF(F110:I115,"Father")</f>
        <v>18</v>
      </c>
      <c r="M111" s="684">
        <f>COUNTIF(F110:I115,"Mother")</f>
        <v>6</v>
      </c>
    </row>
    <row r="112" spans="1:13" x14ac:dyDescent="0.25">
      <c r="A112" s="684"/>
      <c r="B112" s="450"/>
      <c r="C112" s="449"/>
      <c r="D112" s="446">
        <v>63.75</v>
      </c>
      <c r="E112" s="446" t="s">
        <v>939</v>
      </c>
      <c r="F112" s="446" t="s">
        <v>937</v>
      </c>
      <c r="G112" s="446" t="s">
        <v>937</v>
      </c>
      <c r="H112" s="446" t="s">
        <v>937</v>
      </c>
      <c r="I112" s="446" t="s">
        <v>937</v>
      </c>
      <c r="J112" s="439"/>
      <c r="K112" s="684"/>
      <c r="L112" s="424"/>
      <c r="M112" s="684"/>
    </row>
    <row r="113" spans="1:13" x14ac:dyDescent="0.25">
      <c r="A113" s="684"/>
      <c r="B113" s="450"/>
      <c r="C113" s="449"/>
      <c r="D113" s="446">
        <v>64.75</v>
      </c>
      <c r="E113" s="446" t="s">
        <v>940</v>
      </c>
      <c r="F113" s="446" t="s">
        <v>937</v>
      </c>
      <c r="G113" s="446" t="s">
        <v>937</v>
      </c>
      <c r="H113" s="446" t="s">
        <v>937</v>
      </c>
      <c r="I113" s="446" t="s">
        <v>937</v>
      </c>
      <c r="J113" s="439"/>
      <c r="K113" s="684"/>
      <c r="L113" s="424"/>
      <c r="M113" s="684"/>
    </row>
    <row r="114" spans="1:13" x14ac:dyDescent="0.25">
      <c r="A114" s="684"/>
      <c r="B114" s="450"/>
      <c r="C114" s="449"/>
      <c r="D114" s="446">
        <v>65.75</v>
      </c>
      <c r="E114" s="446" t="s">
        <v>941</v>
      </c>
      <c r="F114" s="453" t="s">
        <v>944</v>
      </c>
      <c r="G114" s="446" t="s">
        <v>937</v>
      </c>
      <c r="H114" s="453" t="s">
        <v>944</v>
      </c>
      <c r="I114" s="446" t="s">
        <v>937</v>
      </c>
      <c r="J114" s="439"/>
      <c r="K114" s="684"/>
      <c r="L114" s="424"/>
      <c r="M114" s="684"/>
    </row>
    <row r="115" spans="1:13" x14ac:dyDescent="0.25">
      <c r="A115" s="632"/>
      <c r="B115" s="454"/>
      <c r="C115" s="442"/>
      <c r="D115" s="455">
        <v>66.75</v>
      </c>
      <c r="E115" s="455" t="s">
        <v>942</v>
      </c>
      <c r="F115" s="455" t="s">
        <v>944</v>
      </c>
      <c r="G115" s="455" t="s">
        <v>944</v>
      </c>
      <c r="H115" s="455" t="s">
        <v>944</v>
      </c>
      <c r="I115" s="446" t="s">
        <v>944</v>
      </c>
      <c r="J115" s="455"/>
      <c r="K115" s="632"/>
      <c r="L115" s="457"/>
      <c r="M115" s="632"/>
    </row>
    <row r="116" spans="1:13" x14ac:dyDescent="0.25">
      <c r="A116" s="684"/>
      <c r="B116" s="450"/>
      <c r="C116" s="449"/>
      <c r="D116" s="446"/>
      <c r="E116" s="446"/>
      <c r="F116" s="446"/>
      <c r="G116" s="450"/>
      <c r="H116" s="450"/>
      <c r="I116" s="857"/>
      <c r="J116" s="857"/>
      <c r="K116" s="684"/>
      <c r="L116" s="424"/>
      <c r="M116" s="684"/>
    </row>
    <row r="117" spans="1:13" x14ac:dyDescent="0.25">
      <c r="A117" s="458">
        <v>0.66666666666666663</v>
      </c>
      <c r="B117" s="450">
        <v>0.66666666666666663</v>
      </c>
      <c r="C117" s="716" t="s">
        <v>946</v>
      </c>
      <c r="D117" s="446">
        <v>11.7</v>
      </c>
      <c r="E117" s="446" t="s">
        <v>936</v>
      </c>
      <c r="F117" s="446" t="s">
        <v>937</v>
      </c>
      <c r="G117" s="452" t="s">
        <v>944</v>
      </c>
      <c r="H117" s="452" t="s">
        <v>937</v>
      </c>
      <c r="I117" s="439"/>
      <c r="J117" s="437"/>
      <c r="K117" s="684">
        <v>3</v>
      </c>
      <c r="L117" s="424">
        <f>K117*A117</f>
        <v>2</v>
      </c>
      <c r="M117" s="684">
        <f>K117-L117</f>
        <v>1</v>
      </c>
    </row>
    <row r="118" spans="1:13" x14ac:dyDescent="0.25">
      <c r="A118" s="684"/>
      <c r="B118" s="450"/>
      <c r="C118" s="449"/>
      <c r="D118" s="446"/>
      <c r="E118" s="446"/>
      <c r="F118" s="446"/>
      <c r="G118" s="450"/>
      <c r="H118" s="450"/>
      <c r="I118" s="439"/>
      <c r="J118" s="437"/>
      <c r="K118" s="684"/>
      <c r="L118" s="424"/>
      <c r="M118" s="684"/>
    </row>
    <row r="119" spans="1:13" x14ac:dyDescent="0.25">
      <c r="A119" s="684"/>
      <c r="B119" s="450"/>
      <c r="C119" s="449"/>
      <c r="D119" s="446">
        <v>21.7</v>
      </c>
      <c r="E119" s="446" t="s">
        <v>936</v>
      </c>
      <c r="F119" s="453" t="s">
        <v>937</v>
      </c>
      <c r="G119" s="450" t="s">
        <v>937</v>
      </c>
      <c r="H119" s="452" t="s">
        <v>937</v>
      </c>
      <c r="I119" s="439"/>
      <c r="J119" s="437"/>
      <c r="K119" s="684">
        <v>6</v>
      </c>
      <c r="L119" s="424">
        <f>K119*A117</f>
        <v>4</v>
      </c>
      <c r="M119" s="684">
        <f>K119-L119</f>
        <v>2</v>
      </c>
    </row>
    <row r="120" spans="1:13" x14ac:dyDescent="0.25">
      <c r="A120" s="684"/>
      <c r="B120" s="450"/>
      <c r="C120" s="449"/>
      <c r="D120" s="446">
        <v>22.7</v>
      </c>
      <c r="E120" s="446" t="s">
        <v>938</v>
      </c>
      <c r="F120" s="453" t="s">
        <v>944</v>
      </c>
      <c r="G120" s="452" t="s">
        <v>937</v>
      </c>
      <c r="H120" s="452" t="s">
        <v>944</v>
      </c>
      <c r="I120" s="439"/>
      <c r="J120" s="437"/>
      <c r="K120" s="684"/>
      <c r="L120" s="459">
        <f>COUNTIF(F119:H120,"Father")</f>
        <v>4</v>
      </c>
      <c r="M120" s="684">
        <f>COUNTIF(F119:H120,"Mother")</f>
        <v>2</v>
      </c>
    </row>
    <row r="121" spans="1:13" x14ac:dyDescent="0.25">
      <c r="A121" s="684"/>
      <c r="B121" s="450"/>
      <c r="C121" s="449"/>
      <c r="D121" s="446"/>
      <c r="E121" s="446"/>
      <c r="F121" s="446"/>
      <c r="G121" s="450"/>
      <c r="H121" s="450"/>
      <c r="I121" s="439"/>
      <c r="J121" s="437"/>
      <c r="K121" s="684"/>
      <c r="L121" s="424"/>
      <c r="M121" s="684"/>
    </row>
    <row r="122" spans="1:13" x14ac:dyDescent="0.25">
      <c r="A122" s="684"/>
      <c r="B122" s="450"/>
      <c r="C122" s="449"/>
      <c r="D122" s="446">
        <v>31.7</v>
      </c>
      <c r="E122" s="446" t="s">
        <v>936</v>
      </c>
      <c r="F122" s="446" t="s">
        <v>937</v>
      </c>
      <c r="G122" s="446" t="s">
        <v>937</v>
      </c>
      <c r="H122" s="446" t="s">
        <v>937</v>
      </c>
      <c r="I122" s="439"/>
      <c r="J122" s="439"/>
      <c r="K122" s="684">
        <v>9</v>
      </c>
      <c r="L122" s="424">
        <f>K122*A117</f>
        <v>6</v>
      </c>
      <c r="M122" s="684">
        <f>K122-L122</f>
        <v>3</v>
      </c>
    </row>
    <row r="123" spans="1:13" x14ac:dyDescent="0.25">
      <c r="A123" s="684"/>
      <c r="B123" s="450"/>
      <c r="C123" s="449"/>
      <c r="D123" s="446">
        <v>32.700000000000003</v>
      </c>
      <c r="E123" s="446" t="s">
        <v>938</v>
      </c>
      <c r="F123" s="446" t="s">
        <v>944</v>
      </c>
      <c r="G123" s="446" t="s">
        <v>944</v>
      </c>
      <c r="H123" s="446" t="s">
        <v>944</v>
      </c>
      <c r="I123" s="439"/>
      <c r="J123" s="439"/>
      <c r="K123" s="684"/>
      <c r="L123" s="459">
        <f>COUNTIF(F122:H124,"Father")</f>
        <v>6</v>
      </c>
      <c r="M123" s="684">
        <f>COUNTIF(F122:H124,"Mother")</f>
        <v>3</v>
      </c>
    </row>
    <row r="124" spans="1:13" x14ac:dyDescent="0.25">
      <c r="A124" s="684"/>
      <c r="B124" s="450"/>
      <c r="C124" s="449"/>
      <c r="D124" s="446">
        <v>33.700000000000003</v>
      </c>
      <c r="E124" s="446" t="s">
        <v>939</v>
      </c>
      <c r="F124" s="446" t="s">
        <v>937</v>
      </c>
      <c r="G124" s="446" t="s">
        <v>937</v>
      </c>
      <c r="H124" s="446" t="s">
        <v>937</v>
      </c>
      <c r="I124" s="439"/>
      <c r="J124" s="439"/>
      <c r="K124" s="684"/>
      <c r="L124" s="424"/>
      <c r="M124" s="684"/>
    </row>
    <row r="125" spans="1:13" x14ac:dyDescent="0.25">
      <c r="A125" s="684"/>
      <c r="B125" s="450"/>
      <c r="C125" s="449"/>
      <c r="D125" s="446"/>
      <c r="E125" s="446"/>
      <c r="F125" s="446"/>
      <c r="G125" s="450"/>
      <c r="H125" s="450"/>
      <c r="I125" s="439"/>
      <c r="J125" s="437"/>
      <c r="K125" s="684"/>
      <c r="L125" s="424"/>
      <c r="M125" s="684"/>
    </row>
    <row r="126" spans="1:13" x14ac:dyDescent="0.25">
      <c r="A126" s="684"/>
      <c r="B126" s="450"/>
      <c r="C126" s="449"/>
      <c r="D126" s="446">
        <v>41.7</v>
      </c>
      <c r="E126" s="446" t="s">
        <v>936</v>
      </c>
      <c r="F126" s="453" t="s">
        <v>937</v>
      </c>
      <c r="G126" s="453" t="s">
        <v>937</v>
      </c>
      <c r="H126" s="446" t="s">
        <v>937</v>
      </c>
      <c r="I126" s="439"/>
      <c r="J126" s="439"/>
      <c r="K126" s="684">
        <v>12</v>
      </c>
      <c r="L126" s="424">
        <f>K126*A117</f>
        <v>8</v>
      </c>
      <c r="M126" s="684">
        <f>K126-L126</f>
        <v>4</v>
      </c>
    </row>
    <row r="127" spans="1:13" x14ac:dyDescent="0.25">
      <c r="A127" s="684"/>
      <c r="B127" s="450"/>
      <c r="C127" s="449"/>
      <c r="D127" s="446">
        <v>42.7</v>
      </c>
      <c r="E127" s="446" t="s">
        <v>938</v>
      </c>
      <c r="F127" s="446" t="s">
        <v>944</v>
      </c>
      <c r="G127" s="446" t="s">
        <v>944</v>
      </c>
      <c r="H127" s="446" t="s">
        <v>944</v>
      </c>
      <c r="I127" s="439"/>
      <c r="J127" s="439"/>
      <c r="K127" s="684"/>
      <c r="L127" s="459">
        <f>COUNTIF(F126:H129,"Father")</f>
        <v>8</v>
      </c>
      <c r="M127" s="684">
        <f>COUNTIF(F126:H129,"Mother")</f>
        <v>4</v>
      </c>
    </row>
    <row r="128" spans="1:13" x14ac:dyDescent="0.25">
      <c r="A128" s="684"/>
      <c r="B128" s="450"/>
      <c r="C128" s="449"/>
      <c r="D128" s="446">
        <v>43.7</v>
      </c>
      <c r="E128" s="446" t="s">
        <v>939</v>
      </c>
      <c r="F128" s="446" t="s">
        <v>937</v>
      </c>
      <c r="G128" s="453" t="s">
        <v>937</v>
      </c>
      <c r="H128" s="453" t="s">
        <v>937</v>
      </c>
      <c r="I128" s="439"/>
      <c r="J128" s="439"/>
      <c r="K128" s="684"/>
      <c r="L128" s="424"/>
      <c r="M128" s="684"/>
    </row>
    <row r="129" spans="1:13" x14ac:dyDescent="0.25">
      <c r="A129" s="684"/>
      <c r="B129" s="450"/>
      <c r="C129" s="449"/>
      <c r="D129" s="446">
        <v>44.7</v>
      </c>
      <c r="E129" s="446" t="s">
        <v>940</v>
      </c>
      <c r="F129" s="446" t="s">
        <v>937</v>
      </c>
      <c r="G129" s="452" t="s">
        <v>944</v>
      </c>
      <c r="H129" s="452" t="s">
        <v>937</v>
      </c>
      <c r="I129" s="439"/>
      <c r="J129" s="439"/>
      <c r="K129" s="684"/>
      <c r="L129" s="424"/>
      <c r="M129" s="684"/>
    </row>
    <row r="130" spans="1:13" x14ac:dyDescent="0.25">
      <c r="A130" s="684"/>
      <c r="B130" s="450"/>
      <c r="C130" s="449"/>
      <c r="D130" s="446"/>
      <c r="E130" s="446"/>
      <c r="F130" s="446"/>
      <c r="G130" s="450"/>
      <c r="H130" s="450"/>
      <c r="I130" s="439"/>
      <c r="J130" s="437"/>
      <c r="K130" s="684"/>
      <c r="L130" s="424"/>
      <c r="M130" s="684"/>
    </row>
    <row r="131" spans="1:13" x14ac:dyDescent="0.25">
      <c r="A131" s="684"/>
      <c r="B131" s="450"/>
      <c r="C131" s="449"/>
      <c r="D131" s="446">
        <v>51.7</v>
      </c>
      <c r="E131" s="446" t="s">
        <v>936</v>
      </c>
      <c r="F131" s="446" t="s">
        <v>937</v>
      </c>
      <c r="G131" s="446" t="s">
        <v>937</v>
      </c>
      <c r="H131" s="446" t="s">
        <v>937</v>
      </c>
      <c r="I131" s="439"/>
      <c r="J131" s="439"/>
      <c r="K131" s="684">
        <v>15</v>
      </c>
      <c r="L131" s="424">
        <f>K131*A117</f>
        <v>10</v>
      </c>
      <c r="M131" s="684">
        <f>K131-L131</f>
        <v>5</v>
      </c>
    </row>
    <row r="132" spans="1:13" x14ac:dyDescent="0.25">
      <c r="A132" s="684"/>
      <c r="B132" s="450"/>
      <c r="C132" s="449"/>
      <c r="D132" s="446">
        <v>52.7</v>
      </c>
      <c r="E132" s="446" t="s">
        <v>938</v>
      </c>
      <c r="F132" s="446" t="s">
        <v>944</v>
      </c>
      <c r="G132" s="446" t="s">
        <v>944</v>
      </c>
      <c r="H132" s="446" t="s">
        <v>944</v>
      </c>
      <c r="I132" s="439"/>
      <c r="J132" s="439"/>
      <c r="K132" s="684"/>
      <c r="L132" s="459">
        <f>COUNTIF(F131:H135,"Father")</f>
        <v>10</v>
      </c>
      <c r="M132" s="684">
        <f>COUNTIF(F131:H135,"Mother")</f>
        <v>5</v>
      </c>
    </row>
    <row r="133" spans="1:13" x14ac:dyDescent="0.25">
      <c r="A133" s="684"/>
      <c r="B133" s="450"/>
      <c r="C133" s="449"/>
      <c r="D133" s="446">
        <v>53.7</v>
      </c>
      <c r="E133" s="446" t="s">
        <v>939</v>
      </c>
      <c r="F133" s="446" t="s">
        <v>937</v>
      </c>
      <c r="G133" s="446" t="s">
        <v>937</v>
      </c>
      <c r="H133" s="446" t="s">
        <v>937</v>
      </c>
      <c r="I133" s="439"/>
      <c r="J133" s="439"/>
      <c r="K133" s="684"/>
      <c r="L133" s="424"/>
      <c r="M133" s="684"/>
    </row>
    <row r="134" spans="1:13" x14ac:dyDescent="0.25">
      <c r="A134" s="684"/>
      <c r="B134" s="450"/>
      <c r="C134" s="449"/>
      <c r="D134" s="446">
        <v>54.7</v>
      </c>
      <c r="E134" s="446" t="s">
        <v>940</v>
      </c>
      <c r="F134" s="446" t="s">
        <v>937</v>
      </c>
      <c r="G134" s="446" t="s">
        <v>937</v>
      </c>
      <c r="H134" s="446" t="s">
        <v>937</v>
      </c>
      <c r="I134" s="439"/>
      <c r="J134" s="439"/>
      <c r="K134" s="684"/>
      <c r="L134" s="424"/>
      <c r="M134" s="684"/>
    </row>
    <row r="135" spans="1:13" x14ac:dyDescent="0.25">
      <c r="A135" s="684"/>
      <c r="B135" s="450"/>
      <c r="C135" s="449"/>
      <c r="D135" s="446">
        <v>55.7</v>
      </c>
      <c r="E135" s="446" t="s">
        <v>941</v>
      </c>
      <c r="F135" s="446" t="s">
        <v>944</v>
      </c>
      <c r="G135" s="453" t="s">
        <v>937</v>
      </c>
      <c r="H135" s="453" t="s">
        <v>944</v>
      </c>
      <c r="I135" s="439"/>
      <c r="J135" s="439"/>
      <c r="K135" s="684"/>
      <c r="L135" s="424"/>
      <c r="M135" s="684"/>
    </row>
    <row r="136" spans="1:13" x14ac:dyDescent="0.25">
      <c r="A136" s="684"/>
      <c r="B136" s="450"/>
      <c r="C136" s="449"/>
      <c r="D136" s="446"/>
      <c r="E136" s="446"/>
      <c r="F136" s="446"/>
      <c r="G136" s="450"/>
      <c r="H136" s="450"/>
      <c r="I136" s="439"/>
      <c r="J136" s="437"/>
      <c r="K136" s="684"/>
      <c r="L136" s="424"/>
      <c r="M136" s="684"/>
    </row>
    <row r="137" spans="1:13" x14ac:dyDescent="0.25">
      <c r="A137" s="684"/>
      <c r="B137" s="450"/>
      <c r="C137" s="449"/>
      <c r="D137" s="446">
        <v>61.7</v>
      </c>
      <c r="E137" s="446" t="s">
        <v>936</v>
      </c>
      <c r="F137" s="446" t="s">
        <v>937</v>
      </c>
      <c r="G137" s="446" t="s">
        <v>937</v>
      </c>
      <c r="H137" s="446" t="s">
        <v>937</v>
      </c>
      <c r="I137" s="439"/>
      <c r="J137" s="439"/>
      <c r="K137" s="684">
        <v>18</v>
      </c>
      <c r="L137" s="424">
        <f>K137*A117</f>
        <v>12</v>
      </c>
      <c r="M137" s="684">
        <f>K137-L137</f>
        <v>6</v>
      </c>
    </row>
    <row r="138" spans="1:13" x14ac:dyDescent="0.25">
      <c r="A138" s="684"/>
      <c r="B138" s="450"/>
      <c r="C138" s="449"/>
      <c r="D138" s="446">
        <v>62.7</v>
      </c>
      <c r="E138" s="446" t="s">
        <v>938</v>
      </c>
      <c r="F138" s="446" t="s">
        <v>944</v>
      </c>
      <c r="G138" s="446" t="s">
        <v>944</v>
      </c>
      <c r="H138" s="446" t="s">
        <v>944</v>
      </c>
      <c r="I138" s="439"/>
      <c r="J138" s="439"/>
      <c r="K138" s="684"/>
      <c r="L138" s="459">
        <f>COUNTIF(F137:H142,"Father")</f>
        <v>12</v>
      </c>
      <c r="M138" s="684">
        <f>COUNTIF(F137:H142,"Mother")</f>
        <v>6</v>
      </c>
    </row>
    <row r="139" spans="1:13" x14ac:dyDescent="0.25">
      <c r="A139" s="684"/>
      <c r="B139" s="450"/>
      <c r="C139" s="449"/>
      <c r="D139" s="446">
        <v>63.7</v>
      </c>
      <c r="E139" s="446" t="s">
        <v>939</v>
      </c>
      <c r="F139" s="446" t="s">
        <v>937</v>
      </c>
      <c r="G139" s="446" t="s">
        <v>937</v>
      </c>
      <c r="H139" s="446" t="s">
        <v>937</v>
      </c>
      <c r="I139" s="439"/>
      <c r="J139" s="439"/>
      <c r="K139" s="684"/>
      <c r="L139" s="424"/>
      <c r="M139" s="684"/>
    </row>
    <row r="140" spans="1:13" x14ac:dyDescent="0.25">
      <c r="A140" s="684"/>
      <c r="B140" s="450"/>
      <c r="C140" s="449"/>
      <c r="D140" s="446">
        <v>64.7</v>
      </c>
      <c r="E140" s="446" t="s">
        <v>940</v>
      </c>
      <c r="F140" s="446" t="s">
        <v>937</v>
      </c>
      <c r="G140" s="446" t="s">
        <v>937</v>
      </c>
      <c r="H140" s="446" t="s">
        <v>937</v>
      </c>
      <c r="I140" s="439"/>
      <c r="J140" s="439"/>
      <c r="K140" s="684"/>
      <c r="L140" s="424"/>
      <c r="M140" s="684"/>
    </row>
    <row r="141" spans="1:13" x14ac:dyDescent="0.25">
      <c r="A141" s="684"/>
      <c r="B141" s="450"/>
      <c r="C141" s="449"/>
      <c r="D141" s="446">
        <v>65.7</v>
      </c>
      <c r="E141" s="446" t="s">
        <v>941</v>
      </c>
      <c r="F141" s="446" t="s">
        <v>944</v>
      </c>
      <c r="G141" s="446" t="s">
        <v>944</v>
      </c>
      <c r="H141" s="446" t="s">
        <v>944</v>
      </c>
      <c r="I141" s="439"/>
      <c r="J141" s="439"/>
      <c r="K141" s="684"/>
      <c r="L141" s="424"/>
      <c r="M141" s="684"/>
    </row>
    <row r="142" spans="1:13" x14ac:dyDescent="0.25">
      <c r="A142" s="632"/>
      <c r="B142" s="454"/>
      <c r="C142" s="442"/>
      <c r="D142" s="455">
        <v>66.7</v>
      </c>
      <c r="E142" s="455" t="s">
        <v>942</v>
      </c>
      <c r="F142" s="455" t="s">
        <v>937</v>
      </c>
      <c r="G142" s="455" t="s">
        <v>937</v>
      </c>
      <c r="H142" s="455" t="s">
        <v>937</v>
      </c>
      <c r="I142" s="455"/>
      <c r="J142" s="455"/>
      <c r="K142" s="632"/>
      <c r="L142" s="457"/>
      <c r="M142" s="632"/>
    </row>
    <row r="143" spans="1:13" x14ac:dyDescent="0.25">
      <c r="A143" s="684"/>
      <c r="B143" s="450"/>
      <c r="C143" s="449"/>
      <c r="D143" s="446"/>
      <c r="E143" s="446"/>
      <c r="F143" s="446"/>
      <c r="G143" s="450"/>
      <c r="H143" s="450"/>
      <c r="I143" s="450"/>
      <c r="J143" s="450"/>
      <c r="K143" s="684"/>
      <c r="L143" s="424"/>
      <c r="M143" s="684"/>
    </row>
    <row r="144" spans="1:13" x14ac:dyDescent="0.25">
      <c r="A144" s="458">
        <v>0.6</v>
      </c>
      <c r="B144" s="450">
        <v>0.6</v>
      </c>
      <c r="C144" s="716" t="s">
        <v>947</v>
      </c>
      <c r="D144" s="446">
        <v>11.6</v>
      </c>
      <c r="E144" s="446" t="s">
        <v>936</v>
      </c>
      <c r="F144" s="446" t="s">
        <v>937</v>
      </c>
      <c r="G144" s="450" t="s">
        <v>944</v>
      </c>
      <c r="H144" s="450" t="s">
        <v>937</v>
      </c>
      <c r="I144" s="450" t="s">
        <v>944</v>
      </c>
      <c r="J144" s="450" t="s">
        <v>937</v>
      </c>
      <c r="K144" s="684">
        <v>5</v>
      </c>
      <c r="L144" s="424">
        <f>K144*A144</f>
        <v>3</v>
      </c>
      <c r="M144" s="684">
        <f>K144-L144</f>
        <v>2</v>
      </c>
    </row>
    <row r="145" spans="1:13" x14ac:dyDescent="0.25">
      <c r="A145" s="684"/>
      <c r="B145" s="450"/>
      <c r="C145" s="449"/>
      <c r="D145" s="446"/>
      <c r="E145" s="446"/>
      <c r="F145" s="446"/>
      <c r="G145" s="450"/>
      <c r="H145" s="450"/>
      <c r="I145" s="450"/>
      <c r="J145" s="450"/>
      <c r="K145" s="684"/>
      <c r="L145" s="424"/>
      <c r="M145" s="684"/>
    </row>
    <row r="146" spans="1:13" x14ac:dyDescent="0.25">
      <c r="A146" s="684"/>
      <c r="B146" s="450"/>
      <c r="C146" s="449"/>
      <c r="D146" s="446">
        <v>21.6</v>
      </c>
      <c r="E146" s="446" t="s">
        <v>936</v>
      </c>
      <c r="F146" s="446" t="s">
        <v>937</v>
      </c>
      <c r="G146" s="450" t="s">
        <v>937</v>
      </c>
      <c r="H146" s="450" t="s">
        <v>937</v>
      </c>
      <c r="I146" s="450" t="s">
        <v>937</v>
      </c>
      <c r="J146" s="450" t="s">
        <v>937</v>
      </c>
      <c r="K146" s="684">
        <v>10</v>
      </c>
      <c r="L146" s="424">
        <f>K146*A144</f>
        <v>6</v>
      </c>
      <c r="M146" s="684">
        <f>K146-L146</f>
        <v>4</v>
      </c>
    </row>
    <row r="147" spans="1:13" x14ac:dyDescent="0.25">
      <c r="A147" s="684"/>
      <c r="B147" s="450"/>
      <c r="C147" s="449"/>
      <c r="D147" s="446">
        <v>22.6</v>
      </c>
      <c r="E147" s="446" t="s">
        <v>938</v>
      </c>
      <c r="F147" s="446" t="s">
        <v>944</v>
      </c>
      <c r="G147" s="450" t="s">
        <v>944</v>
      </c>
      <c r="H147" s="452" t="s">
        <v>937</v>
      </c>
      <c r="I147" s="450" t="s">
        <v>944</v>
      </c>
      <c r="J147" s="452" t="s">
        <v>944</v>
      </c>
      <c r="K147" s="684"/>
      <c r="L147" s="424">
        <f>COUNTIF(F146:J147,"Father")</f>
        <v>6</v>
      </c>
      <c r="M147" s="684">
        <f>COUNTIF(F146:J147,"Mother")</f>
        <v>4</v>
      </c>
    </row>
    <row r="148" spans="1:13" x14ac:dyDescent="0.25">
      <c r="A148" s="684"/>
      <c r="B148" s="450"/>
      <c r="C148" s="449"/>
      <c r="D148" s="446"/>
      <c r="E148" s="446"/>
      <c r="F148" s="446"/>
      <c r="G148" s="450"/>
      <c r="H148" s="450"/>
      <c r="I148" s="450"/>
      <c r="J148" s="450"/>
      <c r="K148" s="684"/>
      <c r="L148" s="424"/>
      <c r="M148" s="684"/>
    </row>
    <row r="149" spans="1:13" x14ac:dyDescent="0.25">
      <c r="A149" s="684"/>
      <c r="B149" s="450"/>
      <c r="C149" s="449"/>
      <c r="D149" s="446">
        <v>31.6</v>
      </c>
      <c r="E149" s="446" t="s">
        <v>936</v>
      </c>
      <c r="F149" s="446" t="s">
        <v>937</v>
      </c>
      <c r="G149" s="446" t="s">
        <v>937</v>
      </c>
      <c r="H149" s="453" t="s">
        <v>937</v>
      </c>
      <c r="I149" s="446" t="s">
        <v>937</v>
      </c>
      <c r="J149" s="446" t="s">
        <v>937</v>
      </c>
      <c r="K149" s="684">
        <v>15</v>
      </c>
      <c r="L149" s="424">
        <f>K149*A144</f>
        <v>9</v>
      </c>
      <c r="M149" s="684">
        <f>K149-L149</f>
        <v>6</v>
      </c>
    </row>
    <row r="150" spans="1:13" x14ac:dyDescent="0.25">
      <c r="A150" s="684"/>
      <c r="B150" s="450"/>
      <c r="C150" s="449"/>
      <c r="D150" s="446">
        <v>32.6</v>
      </c>
      <c r="E150" s="446" t="s">
        <v>938</v>
      </c>
      <c r="F150" s="446" t="s">
        <v>944</v>
      </c>
      <c r="G150" s="446" t="s">
        <v>944</v>
      </c>
      <c r="H150" s="446" t="s">
        <v>944</v>
      </c>
      <c r="I150" s="446" t="s">
        <v>944</v>
      </c>
      <c r="J150" s="453" t="s">
        <v>944</v>
      </c>
      <c r="K150" s="684"/>
      <c r="L150" s="424">
        <f>COUNTIF(F149:J151,"Father")</f>
        <v>9</v>
      </c>
      <c r="M150" s="684">
        <f>COUNTIF(F149:J151,"Mother")</f>
        <v>6</v>
      </c>
    </row>
    <row r="151" spans="1:13" x14ac:dyDescent="0.25">
      <c r="A151" s="684"/>
      <c r="B151" s="450"/>
      <c r="C151" s="449"/>
      <c r="D151" s="446">
        <v>33.6</v>
      </c>
      <c r="E151" s="446" t="s">
        <v>939</v>
      </c>
      <c r="F151" s="446" t="s">
        <v>937</v>
      </c>
      <c r="G151" s="453" t="s">
        <v>937</v>
      </c>
      <c r="H151" s="453" t="s">
        <v>944</v>
      </c>
      <c r="I151" s="453" t="s">
        <v>937</v>
      </c>
      <c r="J151" s="453" t="s">
        <v>937</v>
      </c>
      <c r="K151" s="684"/>
      <c r="L151" s="424"/>
      <c r="M151" s="684"/>
    </row>
    <row r="152" spans="1:13" x14ac:dyDescent="0.25">
      <c r="A152" s="684"/>
      <c r="B152" s="450"/>
      <c r="C152" s="449"/>
      <c r="D152" s="446"/>
      <c r="E152" s="446"/>
      <c r="F152" s="446"/>
      <c r="G152" s="450"/>
      <c r="H152" s="450"/>
      <c r="I152" s="450"/>
      <c r="J152" s="450"/>
      <c r="K152" s="684"/>
      <c r="L152" s="424"/>
      <c r="M152" s="684"/>
    </row>
    <row r="153" spans="1:13" x14ac:dyDescent="0.25">
      <c r="A153" s="684"/>
      <c r="B153" s="450"/>
      <c r="C153" s="449"/>
      <c r="D153" s="446">
        <v>41.6</v>
      </c>
      <c r="E153" s="446" t="s">
        <v>936</v>
      </c>
      <c r="F153" s="446" t="s">
        <v>937</v>
      </c>
      <c r="G153" s="446" t="s">
        <v>937</v>
      </c>
      <c r="H153" s="446" t="s">
        <v>937</v>
      </c>
      <c r="I153" s="446" t="s">
        <v>937</v>
      </c>
      <c r="J153" s="446" t="s">
        <v>937</v>
      </c>
      <c r="K153" s="684">
        <v>20</v>
      </c>
      <c r="L153" s="424">
        <f>K153*A144</f>
        <v>12</v>
      </c>
      <c r="M153" s="684">
        <f>K153-L153</f>
        <v>8</v>
      </c>
    </row>
    <row r="154" spans="1:13" x14ac:dyDescent="0.25">
      <c r="A154" s="684"/>
      <c r="B154" s="450"/>
      <c r="C154" s="449"/>
      <c r="D154" s="446">
        <v>42.6</v>
      </c>
      <c r="E154" s="446" t="s">
        <v>938</v>
      </c>
      <c r="F154" s="446" t="s">
        <v>944</v>
      </c>
      <c r="G154" s="446" t="s">
        <v>944</v>
      </c>
      <c r="H154" s="446" t="s">
        <v>944</v>
      </c>
      <c r="I154" s="446" t="s">
        <v>944</v>
      </c>
      <c r="J154" s="446" t="s">
        <v>944</v>
      </c>
      <c r="K154" s="684"/>
      <c r="L154" s="424">
        <f>COUNTIF(F153:J156,"Father")</f>
        <v>12</v>
      </c>
      <c r="M154" s="684">
        <f>COUNTIF(F153:J156,"Mother")</f>
        <v>8</v>
      </c>
    </row>
    <row r="155" spans="1:13" x14ac:dyDescent="0.25">
      <c r="A155" s="684"/>
      <c r="B155" s="450"/>
      <c r="C155" s="449"/>
      <c r="D155" s="446">
        <v>43.6</v>
      </c>
      <c r="E155" s="446" t="s">
        <v>939</v>
      </c>
      <c r="F155" s="453" t="s">
        <v>937</v>
      </c>
      <c r="G155" s="446" t="s">
        <v>937</v>
      </c>
      <c r="H155" s="453" t="s">
        <v>937</v>
      </c>
      <c r="I155" s="446" t="s">
        <v>937</v>
      </c>
      <c r="J155" s="453" t="s">
        <v>937</v>
      </c>
      <c r="K155" s="684"/>
      <c r="L155" s="424"/>
      <c r="M155" s="684"/>
    </row>
    <row r="156" spans="1:13" x14ac:dyDescent="0.25">
      <c r="A156" s="684"/>
      <c r="B156" s="450"/>
      <c r="C156" s="449"/>
      <c r="D156" s="446">
        <v>44.6</v>
      </c>
      <c r="E156" s="446" t="s">
        <v>940</v>
      </c>
      <c r="F156" s="453" t="s">
        <v>944</v>
      </c>
      <c r="G156" s="446" t="s">
        <v>937</v>
      </c>
      <c r="H156" s="453" t="s">
        <v>944</v>
      </c>
      <c r="I156" s="446" t="s">
        <v>937</v>
      </c>
      <c r="J156" s="453" t="s">
        <v>944</v>
      </c>
      <c r="K156" s="684"/>
      <c r="L156" s="424"/>
      <c r="M156" s="684"/>
    </row>
    <row r="157" spans="1:13" x14ac:dyDescent="0.25">
      <c r="A157" s="684"/>
      <c r="B157" s="450"/>
      <c r="C157" s="449"/>
      <c r="D157" s="446"/>
      <c r="E157" s="446"/>
      <c r="F157" s="446"/>
      <c r="G157" s="450"/>
      <c r="H157" s="450"/>
      <c r="I157" s="450"/>
      <c r="J157" s="450"/>
      <c r="K157" s="684"/>
      <c r="L157" s="424"/>
      <c r="M157" s="684"/>
    </row>
    <row r="158" spans="1:13" x14ac:dyDescent="0.25">
      <c r="A158" s="684"/>
      <c r="B158" s="450"/>
      <c r="C158" s="449"/>
      <c r="D158" s="446">
        <v>51.6</v>
      </c>
      <c r="E158" s="446" t="s">
        <v>936</v>
      </c>
      <c r="F158" s="446" t="s">
        <v>937</v>
      </c>
      <c r="G158" s="446" t="s">
        <v>937</v>
      </c>
      <c r="H158" s="446" t="s">
        <v>937</v>
      </c>
      <c r="I158" s="446" t="s">
        <v>937</v>
      </c>
      <c r="J158" s="446" t="s">
        <v>937</v>
      </c>
      <c r="K158" s="684">
        <v>25</v>
      </c>
      <c r="L158" s="424">
        <f>K158*A144</f>
        <v>15</v>
      </c>
      <c r="M158" s="684">
        <f>K158-L158</f>
        <v>10</v>
      </c>
    </row>
    <row r="159" spans="1:13" x14ac:dyDescent="0.25">
      <c r="A159" s="684"/>
      <c r="B159" s="450"/>
      <c r="C159" s="449"/>
      <c r="D159" s="446">
        <v>52.6</v>
      </c>
      <c r="E159" s="446" t="s">
        <v>938</v>
      </c>
      <c r="F159" s="446" t="s">
        <v>944</v>
      </c>
      <c r="G159" s="446" t="s">
        <v>944</v>
      </c>
      <c r="H159" s="446" t="s">
        <v>944</v>
      </c>
      <c r="I159" s="446" t="s">
        <v>944</v>
      </c>
      <c r="J159" s="446" t="s">
        <v>944</v>
      </c>
      <c r="K159" s="684"/>
      <c r="L159" s="424">
        <f>COUNTIF(F158:J162,"Father")</f>
        <v>15</v>
      </c>
      <c r="M159" s="684">
        <f>COUNTIF(F158:J162,"Mother")</f>
        <v>10</v>
      </c>
    </row>
    <row r="160" spans="1:13" x14ac:dyDescent="0.25">
      <c r="A160" s="684"/>
      <c r="B160" s="450"/>
      <c r="C160" s="449"/>
      <c r="D160" s="446">
        <v>53.6</v>
      </c>
      <c r="E160" s="446" t="s">
        <v>939</v>
      </c>
      <c r="F160" s="446" t="s">
        <v>937</v>
      </c>
      <c r="G160" s="446" t="s">
        <v>937</v>
      </c>
      <c r="H160" s="446" t="s">
        <v>937</v>
      </c>
      <c r="I160" s="446" t="s">
        <v>937</v>
      </c>
      <c r="J160" s="446" t="s">
        <v>937</v>
      </c>
      <c r="K160" s="684"/>
      <c r="L160" s="424"/>
      <c r="M160" s="684"/>
    </row>
    <row r="161" spans="1:13" x14ac:dyDescent="0.25">
      <c r="A161" s="684"/>
      <c r="B161" s="450"/>
      <c r="C161" s="449"/>
      <c r="D161" s="446">
        <v>54.6</v>
      </c>
      <c r="E161" s="446" t="s">
        <v>940</v>
      </c>
      <c r="F161" s="446" t="s">
        <v>944</v>
      </c>
      <c r="G161" s="446" t="s">
        <v>944</v>
      </c>
      <c r="H161" s="446" t="s">
        <v>944</v>
      </c>
      <c r="I161" s="446" t="s">
        <v>944</v>
      </c>
      <c r="J161" s="446" t="s">
        <v>944</v>
      </c>
      <c r="K161" s="684"/>
      <c r="L161" s="424"/>
      <c r="M161" s="684"/>
    </row>
    <row r="162" spans="1:13" x14ac:dyDescent="0.25">
      <c r="A162" s="684"/>
      <c r="B162" s="450"/>
      <c r="C162" s="449"/>
      <c r="D162" s="446">
        <v>55.6</v>
      </c>
      <c r="E162" s="446" t="s">
        <v>941</v>
      </c>
      <c r="F162" s="446" t="s">
        <v>937</v>
      </c>
      <c r="G162" s="446" t="s">
        <v>937</v>
      </c>
      <c r="H162" s="446" t="s">
        <v>937</v>
      </c>
      <c r="I162" s="446" t="s">
        <v>937</v>
      </c>
      <c r="J162" s="446" t="s">
        <v>937</v>
      </c>
      <c r="K162" s="684"/>
      <c r="L162" s="424"/>
      <c r="M162" s="684"/>
    </row>
    <row r="163" spans="1:13" x14ac:dyDescent="0.25">
      <c r="A163" s="684"/>
      <c r="B163" s="450"/>
      <c r="C163" s="449"/>
      <c r="D163" s="446"/>
      <c r="E163" s="446"/>
      <c r="F163" s="446"/>
      <c r="G163" s="450"/>
      <c r="H163" s="450"/>
      <c r="I163" s="450"/>
      <c r="J163" s="450"/>
      <c r="K163" s="684"/>
      <c r="L163" s="424"/>
      <c r="M163" s="684"/>
    </row>
    <row r="164" spans="1:13" x14ac:dyDescent="0.25">
      <c r="A164" s="684"/>
      <c r="B164" s="450"/>
      <c r="C164" s="449"/>
      <c r="D164" s="446">
        <v>61.6</v>
      </c>
      <c r="E164" s="446" t="s">
        <v>936</v>
      </c>
      <c r="F164" s="446" t="s">
        <v>937</v>
      </c>
      <c r="G164" s="446" t="s">
        <v>937</v>
      </c>
      <c r="H164" s="446" t="s">
        <v>937</v>
      </c>
      <c r="I164" s="446" t="s">
        <v>937</v>
      </c>
      <c r="J164" s="446" t="s">
        <v>937</v>
      </c>
      <c r="K164" s="684">
        <v>30</v>
      </c>
      <c r="L164" s="424">
        <f>K164*A144</f>
        <v>18</v>
      </c>
      <c r="M164" s="684">
        <f>K164-L164</f>
        <v>12</v>
      </c>
    </row>
    <row r="165" spans="1:13" x14ac:dyDescent="0.25">
      <c r="A165" s="684"/>
      <c r="B165" s="450"/>
      <c r="C165" s="449"/>
      <c r="D165" s="446">
        <v>62.6</v>
      </c>
      <c r="E165" s="446" t="s">
        <v>938</v>
      </c>
      <c r="F165" s="446" t="s">
        <v>944</v>
      </c>
      <c r="G165" s="446" t="s">
        <v>944</v>
      </c>
      <c r="H165" s="446" t="s">
        <v>944</v>
      </c>
      <c r="I165" s="446" t="s">
        <v>944</v>
      </c>
      <c r="J165" s="446" t="s">
        <v>944</v>
      </c>
      <c r="K165" s="684"/>
      <c r="L165" s="424">
        <f>COUNTIF(F164:J169,"Father")</f>
        <v>18</v>
      </c>
      <c r="M165" s="684">
        <f>COUNTIF(F164:J169,"Mother")</f>
        <v>12</v>
      </c>
    </row>
    <row r="166" spans="1:13" x14ac:dyDescent="0.25">
      <c r="A166" s="684"/>
      <c r="B166" s="450"/>
      <c r="C166" s="449"/>
      <c r="D166" s="446">
        <v>63.6</v>
      </c>
      <c r="E166" s="446" t="s">
        <v>939</v>
      </c>
      <c r="F166" s="446" t="s">
        <v>937</v>
      </c>
      <c r="G166" s="446" t="s">
        <v>937</v>
      </c>
      <c r="H166" s="446" t="s">
        <v>937</v>
      </c>
      <c r="I166" s="446" t="s">
        <v>937</v>
      </c>
      <c r="J166" s="446" t="s">
        <v>937</v>
      </c>
      <c r="K166" s="684"/>
      <c r="L166" s="424"/>
      <c r="M166" s="684"/>
    </row>
    <row r="167" spans="1:13" x14ac:dyDescent="0.25">
      <c r="A167" s="684"/>
      <c r="B167" s="450"/>
      <c r="C167" s="449"/>
      <c r="D167" s="446">
        <v>64.599999999999994</v>
      </c>
      <c r="E167" s="446" t="s">
        <v>940</v>
      </c>
      <c r="F167" s="446" t="s">
        <v>944</v>
      </c>
      <c r="G167" s="446" t="s">
        <v>944</v>
      </c>
      <c r="H167" s="446" t="s">
        <v>944</v>
      </c>
      <c r="I167" s="446" t="s">
        <v>944</v>
      </c>
      <c r="J167" s="446" t="s">
        <v>944</v>
      </c>
      <c r="K167" s="684"/>
      <c r="L167" s="424"/>
      <c r="M167" s="684"/>
    </row>
    <row r="168" spans="1:13" x14ac:dyDescent="0.25">
      <c r="A168" s="684"/>
      <c r="B168" s="450"/>
      <c r="C168" s="449"/>
      <c r="D168" s="446">
        <v>65.599999999999994</v>
      </c>
      <c r="E168" s="446" t="s">
        <v>941</v>
      </c>
      <c r="F168" s="446" t="s">
        <v>937</v>
      </c>
      <c r="G168" s="446" t="s">
        <v>937</v>
      </c>
      <c r="H168" s="446" t="s">
        <v>937</v>
      </c>
      <c r="I168" s="446" t="s">
        <v>937</v>
      </c>
      <c r="J168" s="446" t="s">
        <v>937</v>
      </c>
      <c r="K168" s="684"/>
      <c r="L168" s="424"/>
      <c r="M168" s="684"/>
    </row>
    <row r="169" spans="1:13" x14ac:dyDescent="0.25">
      <c r="A169" s="632"/>
      <c r="B169" s="454"/>
      <c r="C169" s="442"/>
      <c r="D169" s="455">
        <v>66.599999999999994</v>
      </c>
      <c r="E169" s="455" t="s">
        <v>942</v>
      </c>
      <c r="F169" s="455" t="s">
        <v>937</v>
      </c>
      <c r="G169" s="455" t="s">
        <v>944</v>
      </c>
      <c r="H169" s="446" t="s">
        <v>937</v>
      </c>
      <c r="I169" s="446" t="s">
        <v>944</v>
      </c>
      <c r="J169" s="446" t="s">
        <v>937</v>
      </c>
      <c r="K169" s="632"/>
      <c r="L169" s="457"/>
      <c r="M169" s="632"/>
    </row>
    <row r="170" spans="1:13" x14ac:dyDescent="0.25">
      <c r="A170" s="684"/>
      <c r="B170" s="450"/>
      <c r="C170" s="449"/>
      <c r="D170" s="446"/>
      <c r="E170" s="446"/>
      <c r="F170" s="446"/>
      <c r="G170" s="450"/>
      <c r="H170" s="857"/>
      <c r="I170" s="857"/>
      <c r="J170" s="857"/>
      <c r="K170" s="684"/>
      <c r="L170" s="424"/>
      <c r="M170" s="684"/>
    </row>
    <row r="171" spans="1:13" x14ac:dyDescent="0.25">
      <c r="A171" s="458">
        <v>0.5</v>
      </c>
      <c r="B171" s="450">
        <v>0.5</v>
      </c>
      <c r="C171" s="716" t="s">
        <v>948</v>
      </c>
      <c r="D171" s="446">
        <v>11.5</v>
      </c>
      <c r="E171" s="446" t="s">
        <v>936</v>
      </c>
      <c r="F171" s="446" t="s">
        <v>944</v>
      </c>
      <c r="G171" s="450" t="s">
        <v>937</v>
      </c>
      <c r="H171" s="439"/>
      <c r="I171" s="437"/>
      <c r="J171" s="439"/>
      <c r="K171" s="684">
        <v>2</v>
      </c>
      <c r="L171" s="424">
        <f>K171*A171</f>
        <v>1</v>
      </c>
      <c r="M171" s="684">
        <f>K171-L171</f>
        <v>1</v>
      </c>
    </row>
    <row r="172" spans="1:13" x14ac:dyDescent="0.25">
      <c r="A172" s="684"/>
      <c r="B172" s="450"/>
      <c r="C172" s="449"/>
      <c r="D172" s="446"/>
      <c r="E172" s="446"/>
      <c r="F172" s="446"/>
      <c r="G172" s="450"/>
      <c r="H172" s="439"/>
      <c r="I172" s="437"/>
      <c r="J172" s="439"/>
      <c r="K172" s="684"/>
      <c r="L172" s="424"/>
      <c r="M172" s="684"/>
    </row>
    <row r="173" spans="1:13" x14ac:dyDescent="0.25">
      <c r="A173" s="684"/>
      <c r="B173" s="450"/>
      <c r="C173" s="449"/>
      <c r="D173" s="446">
        <v>21.5</v>
      </c>
      <c r="E173" s="446" t="s">
        <v>936</v>
      </c>
      <c r="F173" s="446" t="s">
        <v>944</v>
      </c>
      <c r="G173" s="450" t="s">
        <v>944</v>
      </c>
      <c r="H173" s="439"/>
      <c r="I173" s="437"/>
      <c r="J173" s="439"/>
      <c r="K173" s="684">
        <v>4</v>
      </c>
      <c r="L173" s="424">
        <f>K173*A171</f>
        <v>2</v>
      </c>
      <c r="M173" s="684">
        <f>K173-L173</f>
        <v>2</v>
      </c>
    </row>
    <row r="174" spans="1:13" x14ac:dyDescent="0.25">
      <c r="A174" s="684"/>
      <c r="B174" s="450"/>
      <c r="C174" s="449"/>
      <c r="D174" s="446">
        <v>22.5</v>
      </c>
      <c r="E174" s="446" t="s">
        <v>938</v>
      </c>
      <c r="F174" s="446" t="s">
        <v>937</v>
      </c>
      <c r="G174" s="450" t="s">
        <v>937</v>
      </c>
      <c r="H174" s="439"/>
      <c r="I174" s="437"/>
      <c r="J174" s="439"/>
      <c r="K174" s="684"/>
      <c r="L174" s="424">
        <f>COUNTIF(F173:G174,"Father")</f>
        <v>2</v>
      </c>
      <c r="M174" s="684">
        <f>COUNTIF(F173:G174,"Mother")</f>
        <v>2</v>
      </c>
    </row>
    <row r="175" spans="1:13" x14ac:dyDescent="0.25">
      <c r="A175" s="684"/>
      <c r="B175" s="450"/>
      <c r="C175" s="449"/>
      <c r="D175" s="446"/>
      <c r="E175" s="446"/>
      <c r="F175" s="446"/>
      <c r="G175" s="450"/>
      <c r="H175" s="439"/>
      <c r="I175" s="437"/>
      <c r="J175" s="439"/>
      <c r="K175" s="684"/>
      <c r="L175" s="424"/>
      <c r="M175" s="684"/>
    </row>
    <row r="176" spans="1:13" x14ac:dyDescent="0.25">
      <c r="A176" s="684"/>
      <c r="B176" s="450"/>
      <c r="C176" s="449"/>
      <c r="D176" s="446">
        <v>31.5</v>
      </c>
      <c r="E176" s="446" t="s">
        <v>936</v>
      </c>
      <c r="F176" s="446" t="s">
        <v>937</v>
      </c>
      <c r="G176" s="450" t="s">
        <v>937</v>
      </c>
      <c r="H176" s="439"/>
      <c r="I176" s="437"/>
      <c r="J176" s="439"/>
      <c r="K176" s="684">
        <v>6</v>
      </c>
      <c r="L176" s="424">
        <f>K176*A171</f>
        <v>3</v>
      </c>
      <c r="M176" s="684">
        <f>K176-L176</f>
        <v>3</v>
      </c>
    </row>
    <row r="177" spans="1:13" x14ac:dyDescent="0.25">
      <c r="A177" s="684"/>
      <c r="B177" s="450"/>
      <c r="C177" s="449"/>
      <c r="D177" s="446">
        <v>32.5</v>
      </c>
      <c r="E177" s="446" t="s">
        <v>938</v>
      </c>
      <c r="F177" s="450" t="s">
        <v>944</v>
      </c>
      <c r="G177" s="450" t="s">
        <v>944</v>
      </c>
      <c r="H177" s="437"/>
      <c r="I177" s="437"/>
      <c r="J177" s="437"/>
      <c r="K177" s="684"/>
      <c r="L177" s="424">
        <f>COUNTIF(F176:G178,"Father")</f>
        <v>3</v>
      </c>
      <c r="M177" s="684">
        <f>COUNTIF(F176:G178,"Mother")</f>
        <v>3</v>
      </c>
    </row>
    <row r="178" spans="1:13" x14ac:dyDescent="0.25">
      <c r="A178" s="684"/>
      <c r="B178" s="450"/>
      <c r="C178" s="449"/>
      <c r="D178" s="446">
        <v>33.5</v>
      </c>
      <c r="E178" s="446" t="s">
        <v>939</v>
      </c>
      <c r="F178" s="453" t="s">
        <v>937</v>
      </c>
      <c r="G178" s="452" t="s">
        <v>944</v>
      </c>
      <c r="H178" s="439"/>
      <c r="I178" s="437"/>
      <c r="J178" s="439"/>
      <c r="K178" s="684"/>
      <c r="L178" s="424"/>
      <c r="M178" s="684"/>
    </row>
    <row r="179" spans="1:13" x14ac:dyDescent="0.25">
      <c r="A179" s="684"/>
      <c r="B179" s="450"/>
      <c r="C179" s="449"/>
      <c r="D179" s="446"/>
      <c r="E179" s="446"/>
      <c r="F179" s="446"/>
      <c r="G179" s="450"/>
      <c r="H179" s="439"/>
      <c r="I179" s="437"/>
      <c r="J179" s="439"/>
      <c r="K179" s="684"/>
      <c r="L179" s="424"/>
      <c r="M179" s="684"/>
    </row>
    <row r="180" spans="1:13" x14ac:dyDescent="0.25">
      <c r="A180" s="684"/>
      <c r="B180" s="450"/>
      <c r="C180" s="449"/>
      <c r="D180" s="446">
        <v>41.5</v>
      </c>
      <c r="E180" s="446" t="s">
        <v>936</v>
      </c>
      <c r="F180" s="446" t="s">
        <v>944</v>
      </c>
      <c r="G180" s="446" t="s">
        <v>944</v>
      </c>
      <c r="H180" s="439"/>
      <c r="I180" s="439"/>
      <c r="J180" s="439"/>
      <c r="K180" s="684">
        <v>8</v>
      </c>
      <c r="L180" s="424">
        <f>K180*A171</f>
        <v>4</v>
      </c>
      <c r="M180" s="684">
        <f>K180-L180</f>
        <v>4</v>
      </c>
    </row>
    <row r="181" spans="1:13" x14ac:dyDescent="0.25">
      <c r="A181" s="684"/>
      <c r="B181" s="450"/>
      <c r="C181" s="449"/>
      <c r="D181" s="446">
        <v>42.5</v>
      </c>
      <c r="E181" s="446" t="s">
        <v>938</v>
      </c>
      <c r="F181" s="446" t="s">
        <v>937</v>
      </c>
      <c r="G181" s="446" t="s">
        <v>937</v>
      </c>
      <c r="H181" s="439"/>
      <c r="I181" s="439"/>
      <c r="J181" s="439"/>
      <c r="K181" s="684"/>
      <c r="L181" s="424">
        <f>COUNTIF(F180:G183,"Father")</f>
        <v>4</v>
      </c>
      <c r="M181" s="684">
        <f>COUNTIF(F180:G183,"Mother")</f>
        <v>4</v>
      </c>
    </row>
    <row r="182" spans="1:13" x14ac:dyDescent="0.25">
      <c r="A182" s="684"/>
      <c r="B182" s="450"/>
      <c r="C182" s="449"/>
      <c r="D182" s="446">
        <v>43.5</v>
      </c>
      <c r="E182" s="446" t="s">
        <v>939</v>
      </c>
      <c r="F182" s="446" t="s">
        <v>944</v>
      </c>
      <c r="G182" s="446" t="s">
        <v>944</v>
      </c>
      <c r="H182" s="439"/>
      <c r="I182" s="439"/>
      <c r="J182" s="439"/>
      <c r="K182" s="684"/>
      <c r="L182" s="424"/>
      <c r="M182" s="684"/>
    </row>
    <row r="183" spans="1:13" x14ac:dyDescent="0.25">
      <c r="A183" s="684"/>
      <c r="B183" s="450"/>
      <c r="C183" s="449"/>
      <c r="D183" s="446">
        <v>44.5</v>
      </c>
      <c r="E183" s="446" t="s">
        <v>940</v>
      </c>
      <c r="F183" s="453" t="s">
        <v>937</v>
      </c>
      <c r="G183" s="453" t="s">
        <v>937</v>
      </c>
      <c r="H183" s="439"/>
      <c r="I183" s="439"/>
      <c r="J183" s="439"/>
      <c r="K183" s="684"/>
      <c r="L183" s="424"/>
      <c r="M183" s="684"/>
    </row>
    <row r="184" spans="1:13" x14ac:dyDescent="0.25">
      <c r="A184" s="684"/>
      <c r="B184" s="450"/>
      <c r="C184" s="449"/>
      <c r="D184" s="446"/>
      <c r="E184" s="446"/>
      <c r="F184" s="446"/>
      <c r="G184" s="450"/>
      <c r="H184" s="439"/>
      <c r="I184" s="437"/>
      <c r="J184" s="439"/>
      <c r="K184" s="684"/>
      <c r="L184" s="424"/>
      <c r="M184" s="684"/>
    </row>
    <row r="185" spans="1:13" x14ac:dyDescent="0.25">
      <c r="A185" s="684"/>
      <c r="B185" s="450"/>
      <c r="C185" s="449"/>
      <c r="D185" s="446">
        <v>51.5</v>
      </c>
      <c r="E185" s="446" t="s">
        <v>936</v>
      </c>
      <c r="F185" s="446" t="s">
        <v>937</v>
      </c>
      <c r="G185" s="446" t="s">
        <v>937</v>
      </c>
      <c r="H185" s="439"/>
      <c r="I185" s="439"/>
      <c r="J185" s="439"/>
      <c r="K185" s="684">
        <v>10</v>
      </c>
      <c r="L185" s="424">
        <f>K185*A171</f>
        <v>5</v>
      </c>
      <c r="M185" s="684">
        <f>K185-L185</f>
        <v>5</v>
      </c>
    </row>
    <row r="186" spans="1:13" x14ac:dyDescent="0.25">
      <c r="A186" s="684"/>
      <c r="B186" s="450"/>
      <c r="C186" s="449"/>
      <c r="D186" s="446">
        <v>52.5</v>
      </c>
      <c r="E186" s="446" t="s">
        <v>938</v>
      </c>
      <c r="F186" s="446" t="s">
        <v>944</v>
      </c>
      <c r="G186" s="446" t="s">
        <v>944</v>
      </c>
      <c r="H186" s="439"/>
      <c r="I186" s="439"/>
      <c r="J186" s="439"/>
      <c r="K186" s="684"/>
      <c r="L186" s="424">
        <f>COUNTIF(F185:G189,"Father")</f>
        <v>5</v>
      </c>
      <c r="M186" s="684">
        <f>COUNTIF(F185:G189,"Mother")</f>
        <v>5</v>
      </c>
    </row>
    <row r="187" spans="1:13" x14ac:dyDescent="0.25">
      <c r="A187" s="684"/>
      <c r="B187" s="450"/>
      <c r="C187" s="449"/>
      <c r="D187" s="446">
        <v>53.5</v>
      </c>
      <c r="E187" s="446" t="s">
        <v>939</v>
      </c>
      <c r="F187" s="446" t="s">
        <v>937</v>
      </c>
      <c r="G187" s="446" t="s">
        <v>937</v>
      </c>
      <c r="H187" s="439"/>
      <c r="I187" s="439"/>
      <c r="J187" s="439"/>
      <c r="K187" s="684"/>
      <c r="L187" s="424"/>
      <c r="M187" s="684"/>
    </row>
    <row r="188" spans="1:13" x14ac:dyDescent="0.25">
      <c r="A188" s="684"/>
      <c r="B188" s="450"/>
      <c r="C188" s="449"/>
      <c r="D188" s="446">
        <v>54.5</v>
      </c>
      <c r="E188" s="446" t="s">
        <v>940</v>
      </c>
      <c r="F188" s="446" t="s">
        <v>944</v>
      </c>
      <c r="G188" s="446" t="s">
        <v>944</v>
      </c>
      <c r="H188" s="439"/>
      <c r="I188" s="439"/>
      <c r="J188" s="439"/>
      <c r="K188" s="684"/>
      <c r="L188" s="424"/>
      <c r="M188" s="684"/>
    </row>
    <row r="189" spans="1:13" x14ac:dyDescent="0.25">
      <c r="A189" s="684"/>
      <c r="B189" s="450"/>
      <c r="C189" s="449"/>
      <c r="D189" s="446">
        <v>55.5</v>
      </c>
      <c r="E189" s="446" t="s">
        <v>941</v>
      </c>
      <c r="F189" s="446" t="s">
        <v>937</v>
      </c>
      <c r="G189" s="446" t="s">
        <v>944</v>
      </c>
      <c r="H189" s="439"/>
      <c r="I189" s="439"/>
      <c r="J189" s="439"/>
      <c r="K189" s="684"/>
      <c r="L189" s="424"/>
      <c r="M189" s="684"/>
    </row>
    <row r="190" spans="1:13" x14ac:dyDescent="0.25">
      <c r="A190" s="684"/>
      <c r="B190" s="450"/>
      <c r="C190" s="449"/>
      <c r="D190" s="446"/>
      <c r="E190" s="446"/>
      <c r="F190" s="446"/>
      <c r="G190" s="450"/>
      <c r="H190" s="439"/>
      <c r="I190" s="437"/>
      <c r="J190" s="439"/>
      <c r="K190" s="684"/>
      <c r="L190" s="424"/>
      <c r="M190" s="684"/>
    </row>
    <row r="191" spans="1:13" x14ac:dyDescent="0.25">
      <c r="A191" s="684"/>
      <c r="B191" s="450"/>
      <c r="C191" s="449"/>
      <c r="D191" s="446">
        <v>61.5</v>
      </c>
      <c r="E191" s="446" t="s">
        <v>936</v>
      </c>
      <c r="F191" s="446" t="s">
        <v>944</v>
      </c>
      <c r="G191" s="446" t="s">
        <v>944</v>
      </c>
      <c r="H191" s="439"/>
      <c r="I191" s="439"/>
      <c r="J191" s="439"/>
      <c r="K191" s="684">
        <v>12</v>
      </c>
      <c r="L191" s="424">
        <f>K191*A171</f>
        <v>6</v>
      </c>
      <c r="M191" s="684">
        <f>K191-L191</f>
        <v>6</v>
      </c>
    </row>
    <row r="192" spans="1:13" x14ac:dyDescent="0.25">
      <c r="A192" s="684"/>
      <c r="B192" s="450"/>
      <c r="C192" s="449"/>
      <c r="D192" s="446">
        <v>62.5</v>
      </c>
      <c r="E192" s="446" t="s">
        <v>938</v>
      </c>
      <c r="F192" s="446" t="s">
        <v>937</v>
      </c>
      <c r="G192" s="446" t="s">
        <v>937</v>
      </c>
      <c r="H192" s="439"/>
      <c r="I192" s="439"/>
      <c r="J192" s="439"/>
      <c r="K192" s="684"/>
      <c r="L192" s="424">
        <f>COUNTIF(F191:G196,"Father")</f>
        <v>6</v>
      </c>
      <c r="M192" s="684">
        <f>COUNTIF(F191:G196,"Mother")</f>
        <v>6</v>
      </c>
    </row>
    <row r="193" spans="1:13" x14ac:dyDescent="0.25">
      <c r="A193" s="684"/>
      <c r="B193" s="450"/>
      <c r="C193" s="449"/>
      <c r="D193" s="446">
        <v>63.5</v>
      </c>
      <c r="E193" s="446" t="s">
        <v>939</v>
      </c>
      <c r="F193" s="446" t="s">
        <v>944</v>
      </c>
      <c r="G193" s="446" t="s">
        <v>944</v>
      </c>
      <c r="H193" s="439"/>
      <c r="I193" s="439"/>
      <c r="J193" s="439"/>
      <c r="K193" s="684"/>
      <c r="L193" s="424"/>
      <c r="M193" s="684"/>
    </row>
    <row r="194" spans="1:13" x14ac:dyDescent="0.25">
      <c r="A194" s="684"/>
      <c r="B194" s="450"/>
      <c r="C194" s="449"/>
      <c r="D194" s="446">
        <v>64.5</v>
      </c>
      <c r="E194" s="446" t="s">
        <v>940</v>
      </c>
      <c r="F194" s="446" t="s">
        <v>937</v>
      </c>
      <c r="G194" s="446" t="s">
        <v>937</v>
      </c>
      <c r="H194" s="439"/>
      <c r="I194" s="439"/>
      <c r="J194" s="439"/>
      <c r="K194" s="684"/>
      <c r="L194" s="424"/>
      <c r="M194" s="684"/>
    </row>
    <row r="195" spans="1:13" x14ac:dyDescent="0.25">
      <c r="A195" s="684"/>
      <c r="B195" s="450"/>
      <c r="C195" s="449"/>
      <c r="D195" s="446">
        <v>65.5</v>
      </c>
      <c r="E195" s="446" t="s">
        <v>941</v>
      </c>
      <c r="F195" s="460" t="s">
        <v>944</v>
      </c>
      <c r="G195" s="461" t="s">
        <v>944</v>
      </c>
      <c r="H195" s="439"/>
      <c r="I195" s="439"/>
      <c r="J195" s="439"/>
      <c r="K195" s="684"/>
      <c r="L195" s="424"/>
      <c r="M195" s="684"/>
    </row>
    <row r="196" spans="1:13" x14ac:dyDescent="0.25">
      <c r="A196" s="632"/>
      <c r="B196" s="454"/>
      <c r="C196" s="442"/>
      <c r="D196" s="455">
        <v>66.5</v>
      </c>
      <c r="E196" s="455" t="s">
        <v>942</v>
      </c>
      <c r="F196" s="456" t="s">
        <v>937</v>
      </c>
      <c r="G196" s="456" t="s">
        <v>937</v>
      </c>
      <c r="H196" s="455"/>
      <c r="I196" s="455"/>
      <c r="J196" s="455"/>
      <c r="K196" s="632"/>
      <c r="L196" s="457"/>
      <c r="M196" s="632"/>
    </row>
    <row r="197" spans="1:13" x14ac:dyDescent="0.25">
      <c r="A197" s="684"/>
      <c r="B197" s="450"/>
      <c r="C197" s="449"/>
      <c r="D197" s="446"/>
      <c r="E197" s="446"/>
      <c r="F197" s="446"/>
      <c r="G197" s="450"/>
      <c r="H197" s="450"/>
      <c r="I197" s="450"/>
      <c r="J197" s="450"/>
      <c r="K197" s="684"/>
      <c r="L197" s="424"/>
      <c r="M197" s="684"/>
    </row>
    <row r="198" spans="1:13" x14ac:dyDescent="0.25">
      <c r="A198" s="458">
        <v>0.4</v>
      </c>
      <c r="B198" s="450">
        <v>0.4</v>
      </c>
      <c r="C198" s="716" t="s">
        <v>949</v>
      </c>
      <c r="D198" s="446">
        <v>11.4</v>
      </c>
      <c r="E198" s="446" t="s">
        <v>936</v>
      </c>
      <c r="F198" s="446" t="s">
        <v>944</v>
      </c>
      <c r="G198" s="450" t="s">
        <v>937</v>
      </c>
      <c r="H198" s="450" t="s">
        <v>944</v>
      </c>
      <c r="I198" s="450" t="s">
        <v>937</v>
      </c>
      <c r="J198" s="450" t="s">
        <v>944</v>
      </c>
      <c r="K198" s="684">
        <v>5</v>
      </c>
      <c r="L198" s="424">
        <f>K198*A198</f>
        <v>2</v>
      </c>
      <c r="M198" s="684">
        <f>K198-L198</f>
        <v>3</v>
      </c>
    </row>
    <row r="199" spans="1:13" x14ac:dyDescent="0.25">
      <c r="A199" s="684"/>
      <c r="B199" s="450"/>
      <c r="C199" s="449"/>
      <c r="D199" s="446"/>
      <c r="E199" s="446"/>
      <c r="F199" s="446"/>
      <c r="G199" s="450"/>
      <c r="H199" s="450"/>
      <c r="I199" s="450"/>
      <c r="J199" s="450"/>
      <c r="K199" s="684"/>
      <c r="L199" s="424"/>
      <c r="M199" s="684"/>
    </row>
    <row r="200" spans="1:13" x14ac:dyDescent="0.25">
      <c r="A200" s="684"/>
      <c r="B200" s="450"/>
      <c r="C200" s="449"/>
      <c r="D200" s="446">
        <v>21.4</v>
      </c>
      <c r="E200" s="446" t="s">
        <v>936</v>
      </c>
      <c r="F200" s="446" t="s">
        <v>944</v>
      </c>
      <c r="G200" s="450" t="s">
        <v>944</v>
      </c>
      <c r="H200" s="450" t="s">
        <v>944</v>
      </c>
      <c r="I200" s="450" t="s">
        <v>944</v>
      </c>
      <c r="J200" s="450" t="s">
        <v>944</v>
      </c>
      <c r="K200" s="684">
        <v>10</v>
      </c>
      <c r="L200" s="424">
        <f>K200*A198</f>
        <v>4</v>
      </c>
      <c r="M200" s="684">
        <f>K200-L200</f>
        <v>6</v>
      </c>
    </row>
    <row r="201" spans="1:13" x14ac:dyDescent="0.25">
      <c r="A201" s="684"/>
      <c r="B201" s="450"/>
      <c r="C201" s="449"/>
      <c r="D201" s="446">
        <v>22.4</v>
      </c>
      <c r="E201" s="446" t="s">
        <v>938</v>
      </c>
      <c r="F201" s="446" t="s">
        <v>937</v>
      </c>
      <c r="G201" s="450" t="s">
        <v>937</v>
      </c>
      <c r="H201" s="452" t="s">
        <v>944</v>
      </c>
      <c r="I201" s="450" t="s">
        <v>937</v>
      </c>
      <c r="J201" s="452" t="s">
        <v>937</v>
      </c>
      <c r="K201" s="684"/>
      <c r="L201" s="424">
        <f>COUNTIF(F200:J201,"Father")</f>
        <v>4</v>
      </c>
      <c r="M201" s="684">
        <f>COUNTIF(F200:J201,"Mother")</f>
        <v>6</v>
      </c>
    </row>
    <row r="202" spans="1:13" x14ac:dyDescent="0.25">
      <c r="A202" s="684"/>
      <c r="B202" s="450"/>
      <c r="C202" s="449"/>
      <c r="D202" s="446"/>
      <c r="E202" s="446"/>
      <c r="F202" s="446"/>
      <c r="G202" s="450"/>
      <c r="H202" s="450"/>
      <c r="I202" s="450"/>
      <c r="J202" s="450"/>
      <c r="K202" s="684"/>
      <c r="L202" s="424"/>
      <c r="M202" s="684"/>
    </row>
    <row r="203" spans="1:13" x14ac:dyDescent="0.25">
      <c r="A203" s="684"/>
      <c r="B203" s="450"/>
      <c r="C203" s="449"/>
      <c r="D203" s="446">
        <v>31.4</v>
      </c>
      <c r="E203" s="446" t="s">
        <v>936</v>
      </c>
      <c r="F203" s="446" t="s">
        <v>944</v>
      </c>
      <c r="G203" s="446" t="s">
        <v>944</v>
      </c>
      <c r="H203" s="453" t="s">
        <v>944</v>
      </c>
      <c r="I203" s="446" t="s">
        <v>944</v>
      </c>
      <c r="J203" s="446" t="s">
        <v>944</v>
      </c>
      <c r="K203" s="684">
        <v>15</v>
      </c>
      <c r="L203" s="424">
        <f>K203*A198</f>
        <v>6</v>
      </c>
      <c r="M203" s="684">
        <f>K203-L203</f>
        <v>9</v>
      </c>
    </row>
    <row r="204" spans="1:13" x14ac:dyDescent="0.25">
      <c r="A204" s="684"/>
      <c r="B204" s="450"/>
      <c r="C204" s="449"/>
      <c r="D204" s="446">
        <v>32.4</v>
      </c>
      <c r="E204" s="446" t="s">
        <v>938</v>
      </c>
      <c r="F204" s="446" t="s">
        <v>937</v>
      </c>
      <c r="G204" s="446" t="s">
        <v>937</v>
      </c>
      <c r="H204" s="446" t="s">
        <v>937</v>
      </c>
      <c r="I204" s="446" t="s">
        <v>937</v>
      </c>
      <c r="J204" s="453" t="s">
        <v>937</v>
      </c>
      <c r="K204" s="684"/>
      <c r="L204" s="424">
        <f>COUNTIF(F203:J205,"Father")</f>
        <v>6</v>
      </c>
      <c r="M204" s="684">
        <f>COUNTIF(F203:J205,"Mother")</f>
        <v>9</v>
      </c>
    </row>
    <row r="205" spans="1:13" x14ac:dyDescent="0.25">
      <c r="A205" s="684"/>
      <c r="B205" s="450"/>
      <c r="C205" s="449"/>
      <c r="D205" s="446">
        <v>33.4</v>
      </c>
      <c r="E205" s="446" t="s">
        <v>939</v>
      </c>
      <c r="F205" s="446" t="s">
        <v>944</v>
      </c>
      <c r="G205" s="446" t="s">
        <v>944</v>
      </c>
      <c r="H205" s="453" t="s">
        <v>937</v>
      </c>
      <c r="I205" s="446" t="s">
        <v>944</v>
      </c>
      <c r="J205" s="453" t="s">
        <v>944</v>
      </c>
      <c r="K205" s="684"/>
      <c r="L205" s="424"/>
      <c r="M205" s="684"/>
    </row>
    <row r="206" spans="1:13" x14ac:dyDescent="0.25">
      <c r="A206" s="684"/>
      <c r="B206" s="450"/>
      <c r="C206" s="449"/>
      <c r="D206" s="446"/>
      <c r="E206" s="446"/>
      <c r="F206" s="446"/>
      <c r="G206" s="450"/>
      <c r="H206" s="450"/>
      <c r="I206" s="450"/>
      <c r="J206" s="450"/>
      <c r="K206" s="684"/>
      <c r="L206" s="424"/>
      <c r="M206" s="684"/>
    </row>
    <row r="207" spans="1:13" x14ac:dyDescent="0.25">
      <c r="A207" s="684"/>
      <c r="B207" s="450"/>
      <c r="C207" s="449"/>
      <c r="D207" s="446">
        <v>41.4</v>
      </c>
      <c r="E207" s="446" t="s">
        <v>936</v>
      </c>
      <c r="F207" s="446" t="s">
        <v>944</v>
      </c>
      <c r="G207" s="446" t="s">
        <v>944</v>
      </c>
      <c r="H207" s="446" t="s">
        <v>944</v>
      </c>
      <c r="I207" s="446" t="s">
        <v>944</v>
      </c>
      <c r="J207" s="446" t="s">
        <v>944</v>
      </c>
      <c r="K207" s="684">
        <v>20</v>
      </c>
      <c r="L207" s="424">
        <f>K207*A198</f>
        <v>8</v>
      </c>
      <c r="M207" s="684">
        <f>K207-L207</f>
        <v>12</v>
      </c>
    </row>
    <row r="208" spans="1:13" x14ac:dyDescent="0.25">
      <c r="A208" s="684"/>
      <c r="B208" s="450"/>
      <c r="C208" s="449"/>
      <c r="D208" s="446">
        <v>42.4</v>
      </c>
      <c r="E208" s="446" t="s">
        <v>938</v>
      </c>
      <c r="F208" s="446" t="s">
        <v>937</v>
      </c>
      <c r="G208" s="446" t="s">
        <v>937</v>
      </c>
      <c r="H208" s="446" t="s">
        <v>937</v>
      </c>
      <c r="I208" s="446" t="s">
        <v>937</v>
      </c>
      <c r="J208" s="446" t="s">
        <v>937</v>
      </c>
      <c r="K208" s="684"/>
      <c r="L208" s="424">
        <f>COUNTIF(F207:J210,"Father")</f>
        <v>8</v>
      </c>
      <c r="M208" s="684">
        <f>COUNTIF(F207:J210,"Mother")</f>
        <v>12</v>
      </c>
    </row>
    <row r="209" spans="1:13" x14ac:dyDescent="0.25">
      <c r="A209" s="684"/>
      <c r="B209" s="450"/>
      <c r="C209" s="449"/>
      <c r="D209" s="446">
        <v>43.4</v>
      </c>
      <c r="E209" s="446" t="s">
        <v>939</v>
      </c>
      <c r="F209" s="453" t="s">
        <v>944</v>
      </c>
      <c r="G209" s="446" t="s">
        <v>944</v>
      </c>
      <c r="H209" s="453" t="s">
        <v>944</v>
      </c>
      <c r="I209" s="446" t="s">
        <v>944</v>
      </c>
      <c r="J209" s="453" t="s">
        <v>944</v>
      </c>
      <c r="K209" s="684"/>
      <c r="L209" s="424"/>
      <c r="M209" s="684"/>
    </row>
    <row r="210" spans="1:13" x14ac:dyDescent="0.25">
      <c r="A210" s="684"/>
      <c r="B210" s="450"/>
      <c r="C210" s="449"/>
      <c r="D210" s="446">
        <v>44.4</v>
      </c>
      <c r="E210" s="446" t="s">
        <v>940</v>
      </c>
      <c r="F210" s="453" t="s">
        <v>937</v>
      </c>
      <c r="G210" s="446" t="s">
        <v>944</v>
      </c>
      <c r="H210" s="453" t="s">
        <v>937</v>
      </c>
      <c r="I210" s="446" t="s">
        <v>944</v>
      </c>
      <c r="J210" s="453" t="s">
        <v>937</v>
      </c>
      <c r="K210" s="684"/>
      <c r="L210" s="424"/>
      <c r="M210" s="684"/>
    </row>
    <row r="211" spans="1:13" x14ac:dyDescent="0.25">
      <c r="A211" s="684"/>
      <c r="B211" s="450"/>
      <c r="C211" s="449"/>
      <c r="D211" s="446"/>
      <c r="E211" s="446"/>
      <c r="F211" s="446"/>
      <c r="G211" s="450"/>
      <c r="H211" s="450"/>
      <c r="I211" s="450"/>
      <c r="J211" s="450"/>
      <c r="K211" s="684"/>
      <c r="L211" s="424"/>
      <c r="M211" s="684"/>
    </row>
    <row r="212" spans="1:13" x14ac:dyDescent="0.25">
      <c r="A212" s="684"/>
      <c r="B212" s="450"/>
      <c r="C212" s="449"/>
      <c r="D212" s="446">
        <v>51.4</v>
      </c>
      <c r="E212" s="446" t="s">
        <v>936</v>
      </c>
      <c r="F212" s="446" t="s">
        <v>944</v>
      </c>
      <c r="G212" s="446" t="s">
        <v>944</v>
      </c>
      <c r="H212" s="446" t="s">
        <v>944</v>
      </c>
      <c r="I212" s="446" t="s">
        <v>944</v>
      </c>
      <c r="J212" s="446" t="s">
        <v>944</v>
      </c>
      <c r="K212" s="684">
        <v>25</v>
      </c>
      <c r="L212" s="424">
        <f>K212*A198</f>
        <v>10</v>
      </c>
      <c r="M212" s="684">
        <f>K212-L212</f>
        <v>15</v>
      </c>
    </row>
    <row r="213" spans="1:13" x14ac:dyDescent="0.25">
      <c r="A213" s="684"/>
      <c r="B213" s="450"/>
      <c r="C213" s="449"/>
      <c r="D213" s="446">
        <v>52.4</v>
      </c>
      <c r="E213" s="446" t="s">
        <v>938</v>
      </c>
      <c r="F213" s="446" t="s">
        <v>937</v>
      </c>
      <c r="G213" s="446" t="s">
        <v>937</v>
      </c>
      <c r="H213" s="446" t="s">
        <v>937</v>
      </c>
      <c r="I213" s="446" t="s">
        <v>937</v>
      </c>
      <c r="J213" s="446" t="s">
        <v>937</v>
      </c>
      <c r="K213" s="684"/>
      <c r="L213" s="424">
        <f>COUNTIF(F212:J216,"Father")</f>
        <v>10</v>
      </c>
      <c r="M213" s="684">
        <f>COUNTIF(F212:J216,"Mother")</f>
        <v>15</v>
      </c>
    </row>
    <row r="214" spans="1:13" x14ac:dyDescent="0.25">
      <c r="A214" s="684"/>
      <c r="B214" s="450"/>
      <c r="C214" s="449"/>
      <c r="D214" s="446">
        <v>53.4</v>
      </c>
      <c r="E214" s="446" t="s">
        <v>939</v>
      </c>
      <c r="F214" s="446" t="s">
        <v>944</v>
      </c>
      <c r="G214" s="446" t="s">
        <v>944</v>
      </c>
      <c r="H214" s="446" t="s">
        <v>944</v>
      </c>
      <c r="I214" s="446" t="s">
        <v>944</v>
      </c>
      <c r="J214" s="446" t="s">
        <v>944</v>
      </c>
      <c r="K214" s="684"/>
      <c r="L214" s="424"/>
      <c r="M214" s="684"/>
    </row>
    <row r="215" spans="1:13" x14ac:dyDescent="0.25">
      <c r="A215" s="684"/>
      <c r="B215" s="450"/>
      <c r="C215" s="449"/>
      <c r="D215" s="446">
        <v>54.4</v>
      </c>
      <c r="E215" s="446" t="s">
        <v>940</v>
      </c>
      <c r="F215" s="446" t="s">
        <v>937</v>
      </c>
      <c r="G215" s="446" t="s">
        <v>937</v>
      </c>
      <c r="H215" s="446" t="s">
        <v>937</v>
      </c>
      <c r="I215" s="446" t="s">
        <v>937</v>
      </c>
      <c r="J215" s="446" t="s">
        <v>937</v>
      </c>
      <c r="K215" s="684"/>
      <c r="L215" s="424"/>
      <c r="M215" s="684"/>
    </row>
    <row r="216" spans="1:13" x14ac:dyDescent="0.25">
      <c r="A216" s="684"/>
      <c r="B216" s="450"/>
      <c r="C216" s="449"/>
      <c r="D216" s="446">
        <v>55.4</v>
      </c>
      <c r="E216" s="446" t="s">
        <v>941</v>
      </c>
      <c r="F216" s="446" t="s">
        <v>944</v>
      </c>
      <c r="G216" s="446" t="s">
        <v>944</v>
      </c>
      <c r="H216" s="446" t="s">
        <v>944</v>
      </c>
      <c r="I216" s="446" t="s">
        <v>944</v>
      </c>
      <c r="J216" s="446" t="s">
        <v>944</v>
      </c>
      <c r="K216" s="684"/>
      <c r="L216" s="424"/>
      <c r="M216" s="684"/>
    </row>
    <row r="217" spans="1:13" x14ac:dyDescent="0.25">
      <c r="A217" s="684"/>
      <c r="B217" s="450"/>
      <c r="C217" s="449"/>
      <c r="D217" s="446"/>
      <c r="E217" s="446"/>
      <c r="F217" s="446"/>
      <c r="G217" s="450"/>
      <c r="H217" s="450"/>
      <c r="I217" s="450"/>
      <c r="J217" s="450"/>
      <c r="K217" s="684"/>
      <c r="L217" s="424"/>
      <c r="M217" s="684"/>
    </row>
    <row r="218" spans="1:13" x14ac:dyDescent="0.25">
      <c r="A218" s="684"/>
      <c r="B218" s="450"/>
      <c r="C218" s="449"/>
      <c r="D218" s="446">
        <v>61.4</v>
      </c>
      <c r="E218" s="446" t="s">
        <v>936</v>
      </c>
      <c r="F218" s="446" t="s">
        <v>944</v>
      </c>
      <c r="G218" s="446" t="s">
        <v>944</v>
      </c>
      <c r="H218" s="446" t="s">
        <v>944</v>
      </c>
      <c r="I218" s="446" t="s">
        <v>944</v>
      </c>
      <c r="J218" s="446" t="s">
        <v>944</v>
      </c>
      <c r="K218" s="684">
        <v>30</v>
      </c>
      <c r="L218" s="424">
        <f>K218*A198</f>
        <v>12</v>
      </c>
      <c r="M218" s="684">
        <f>K218-L218</f>
        <v>18</v>
      </c>
    </row>
    <row r="219" spans="1:13" x14ac:dyDescent="0.25">
      <c r="A219" s="684"/>
      <c r="B219" s="450"/>
      <c r="C219" s="449"/>
      <c r="D219" s="446">
        <v>62.4</v>
      </c>
      <c r="E219" s="446" t="s">
        <v>938</v>
      </c>
      <c r="F219" s="446" t="s">
        <v>937</v>
      </c>
      <c r="G219" s="446" t="s">
        <v>937</v>
      </c>
      <c r="H219" s="446" t="s">
        <v>937</v>
      </c>
      <c r="I219" s="446" t="s">
        <v>937</v>
      </c>
      <c r="J219" s="446" t="s">
        <v>937</v>
      </c>
      <c r="K219" s="684"/>
      <c r="L219" s="424">
        <f>COUNTIF(F218:J223,"Father")</f>
        <v>12</v>
      </c>
      <c r="M219" s="684">
        <f>COUNTIF(F218:J223,"Mother")</f>
        <v>18</v>
      </c>
    </row>
    <row r="220" spans="1:13" x14ac:dyDescent="0.25">
      <c r="A220" s="684"/>
      <c r="B220" s="450"/>
      <c r="C220" s="449"/>
      <c r="D220" s="446">
        <v>63.4</v>
      </c>
      <c r="E220" s="446" t="s">
        <v>939</v>
      </c>
      <c r="F220" s="446" t="s">
        <v>944</v>
      </c>
      <c r="G220" s="446" t="s">
        <v>944</v>
      </c>
      <c r="H220" s="446" t="s">
        <v>944</v>
      </c>
      <c r="I220" s="446" t="s">
        <v>944</v>
      </c>
      <c r="J220" s="446" t="s">
        <v>944</v>
      </c>
      <c r="K220" s="684"/>
      <c r="L220" s="424"/>
      <c r="M220" s="684"/>
    </row>
    <row r="221" spans="1:13" x14ac:dyDescent="0.25">
      <c r="A221" s="684"/>
      <c r="B221" s="450"/>
      <c r="C221" s="449"/>
      <c r="D221" s="446">
        <v>64.400000000000006</v>
      </c>
      <c r="E221" s="446" t="s">
        <v>940</v>
      </c>
      <c r="F221" s="446" t="s">
        <v>937</v>
      </c>
      <c r="G221" s="446" t="s">
        <v>937</v>
      </c>
      <c r="H221" s="446" t="s">
        <v>937</v>
      </c>
      <c r="I221" s="446" t="s">
        <v>937</v>
      </c>
      <c r="J221" s="446" t="s">
        <v>937</v>
      </c>
      <c r="K221" s="684"/>
      <c r="L221" s="424"/>
      <c r="M221" s="684"/>
    </row>
    <row r="222" spans="1:13" x14ac:dyDescent="0.25">
      <c r="A222" s="684"/>
      <c r="B222" s="450"/>
      <c r="C222" s="449"/>
      <c r="D222" s="446">
        <v>65.400000000000006</v>
      </c>
      <c r="E222" s="446" t="s">
        <v>941</v>
      </c>
      <c r="F222" s="446" t="s">
        <v>944</v>
      </c>
      <c r="G222" s="446" t="s">
        <v>944</v>
      </c>
      <c r="H222" s="446" t="s">
        <v>944</v>
      </c>
      <c r="I222" s="446" t="s">
        <v>944</v>
      </c>
      <c r="J222" s="446" t="s">
        <v>944</v>
      </c>
      <c r="K222" s="684"/>
      <c r="L222" s="424"/>
      <c r="M222" s="684"/>
    </row>
    <row r="223" spans="1:13" x14ac:dyDescent="0.25">
      <c r="A223" s="632"/>
      <c r="B223" s="454"/>
      <c r="C223" s="442"/>
      <c r="D223" s="455">
        <v>66.400000000000006</v>
      </c>
      <c r="E223" s="455" t="s">
        <v>942</v>
      </c>
      <c r="F223" s="455" t="s">
        <v>944</v>
      </c>
      <c r="G223" s="456" t="s">
        <v>937</v>
      </c>
      <c r="H223" s="455" t="s">
        <v>944</v>
      </c>
      <c r="I223" s="456" t="s">
        <v>937</v>
      </c>
      <c r="J223" s="455" t="s">
        <v>944</v>
      </c>
      <c r="K223" s="632"/>
      <c r="L223" s="457"/>
      <c r="M223" s="632"/>
    </row>
    <row r="224" spans="1:13" x14ac:dyDescent="0.25">
      <c r="A224" s="684"/>
      <c r="B224" s="450"/>
      <c r="C224" s="449"/>
      <c r="D224" s="446"/>
      <c r="E224" s="446"/>
      <c r="F224" s="446"/>
      <c r="G224" s="450"/>
      <c r="H224" s="450"/>
      <c r="I224" s="857"/>
      <c r="J224" s="857"/>
      <c r="K224" s="684"/>
      <c r="L224" s="424"/>
      <c r="M224" s="684"/>
    </row>
    <row r="225" spans="1:13" x14ac:dyDescent="0.25">
      <c r="A225" s="458">
        <v>0.33333333333333331</v>
      </c>
      <c r="B225" s="450">
        <v>0.33329999999999999</v>
      </c>
      <c r="C225" s="716" t="s">
        <v>950</v>
      </c>
      <c r="D225" s="446">
        <v>11.3</v>
      </c>
      <c r="E225" s="446" t="s">
        <v>936</v>
      </c>
      <c r="F225" s="446" t="s">
        <v>944</v>
      </c>
      <c r="G225" s="452" t="s">
        <v>937</v>
      </c>
      <c r="H225" s="452" t="s">
        <v>944</v>
      </c>
      <c r="I225" s="439"/>
      <c r="J225" s="437"/>
      <c r="K225" s="684">
        <v>3</v>
      </c>
      <c r="L225" s="424">
        <f>K225*A225</f>
        <v>1</v>
      </c>
      <c r="M225" s="684">
        <f>K225-L225</f>
        <v>2</v>
      </c>
    </row>
    <row r="226" spans="1:13" x14ac:dyDescent="0.25">
      <c r="A226" s="684"/>
      <c r="B226" s="450"/>
      <c r="C226" s="449"/>
      <c r="D226" s="446"/>
      <c r="E226" s="446"/>
      <c r="F226" s="446"/>
      <c r="G226" s="450"/>
      <c r="H226" s="450"/>
      <c r="I226" s="439"/>
      <c r="J226" s="437"/>
      <c r="K226" s="684"/>
      <c r="L226" s="424"/>
      <c r="M226" s="684"/>
    </row>
    <row r="227" spans="1:13" x14ac:dyDescent="0.25">
      <c r="A227" s="684"/>
      <c r="B227" s="450"/>
      <c r="C227" s="449"/>
      <c r="D227" s="446">
        <v>21.3</v>
      </c>
      <c r="E227" s="446" t="s">
        <v>936</v>
      </c>
      <c r="F227" s="453" t="s">
        <v>944</v>
      </c>
      <c r="G227" s="452" t="s">
        <v>944</v>
      </c>
      <c r="H227" s="450" t="s">
        <v>944</v>
      </c>
      <c r="I227" s="439"/>
      <c r="J227" s="437"/>
      <c r="K227" s="684">
        <v>6</v>
      </c>
      <c r="L227" s="424">
        <f>K227*A225</f>
        <v>2</v>
      </c>
      <c r="M227" s="684">
        <f>K227-L227</f>
        <v>4</v>
      </c>
    </row>
    <row r="228" spans="1:13" x14ac:dyDescent="0.25">
      <c r="A228" s="684"/>
      <c r="B228" s="450"/>
      <c r="C228" s="449"/>
      <c r="D228" s="446">
        <v>22.3</v>
      </c>
      <c r="E228" s="446" t="s">
        <v>938</v>
      </c>
      <c r="F228" s="453" t="s">
        <v>937</v>
      </c>
      <c r="G228" s="452" t="s">
        <v>944</v>
      </c>
      <c r="H228" s="452" t="s">
        <v>937</v>
      </c>
      <c r="I228" s="439"/>
      <c r="J228" s="437"/>
      <c r="K228" s="684"/>
      <c r="L228" s="459">
        <f>COUNTIF(F227:H228,"Father")</f>
        <v>2</v>
      </c>
      <c r="M228" s="684">
        <f>COUNTIF(F227:H228,"Mother")</f>
        <v>4</v>
      </c>
    </row>
    <row r="229" spans="1:13" x14ac:dyDescent="0.25">
      <c r="A229" s="684"/>
      <c r="B229" s="450"/>
      <c r="C229" s="449"/>
      <c r="D229" s="446"/>
      <c r="E229" s="446"/>
      <c r="F229" s="446"/>
      <c r="G229" s="450"/>
      <c r="H229" s="450"/>
      <c r="I229" s="439"/>
      <c r="J229" s="437"/>
      <c r="K229" s="684"/>
      <c r="L229" s="424"/>
      <c r="M229" s="684"/>
    </row>
    <row r="230" spans="1:13" x14ac:dyDescent="0.25">
      <c r="A230" s="684"/>
      <c r="B230" s="450"/>
      <c r="C230" s="449"/>
      <c r="D230" s="446">
        <v>31.3</v>
      </c>
      <c r="E230" s="446" t="s">
        <v>936</v>
      </c>
      <c r="F230" s="446" t="s">
        <v>944</v>
      </c>
      <c r="G230" s="446" t="s">
        <v>944</v>
      </c>
      <c r="H230" s="446" t="s">
        <v>944</v>
      </c>
      <c r="I230" s="439"/>
      <c r="J230" s="439"/>
      <c r="K230" s="684">
        <v>9</v>
      </c>
      <c r="L230" s="424">
        <f>K230*A225</f>
        <v>3</v>
      </c>
      <c r="M230" s="684">
        <f>K230-L230</f>
        <v>6</v>
      </c>
    </row>
    <row r="231" spans="1:13" x14ac:dyDescent="0.25">
      <c r="A231" s="684"/>
      <c r="B231" s="450"/>
      <c r="C231" s="449"/>
      <c r="D231" s="446">
        <v>32.299999999999997</v>
      </c>
      <c r="E231" s="446" t="s">
        <v>938</v>
      </c>
      <c r="F231" s="446" t="s">
        <v>937</v>
      </c>
      <c r="G231" s="446" t="s">
        <v>937</v>
      </c>
      <c r="H231" s="446" t="s">
        <v>937</v>
      </c>
      <c r="I231" s="439"/>
      <c r="J231" s="439"/>
      <c r="K231" s="684"/>
      <c r="L231" s="459">
        <f>COUNTIF(F230:H232,"Father")</f>
        <v>3</v>
      </c>
      <c r="M231" s="684">
        <f>COUNTIF(F230:H232,"Mother")</f>
        <v>6</v>
      </c>
    </row>
    <row r="232" spans="1:13" x14ac:dyDescent="0.25">
      <c r="A232" s="684"/>
      <c r="B232" s="450"/>
      <c r="C232" s="449"/>
      <c r="D232" s="446">
        <v>33.299999999999997</v>
      </c>
      <c r="E232" s="446" t="s">
        <v>939</v>
      </c>
      <c r="F232" s="446" t="s">
        <v>944</v>
      </c>
      <c r="G232" s="446" t="s">
        <v>944</v>
      </c>
      <c r="H232" s="446" t="s">
        <v>944</v>
      </c>
      <c r="I232" s="439"/>
      <c r="J232" s="439"/>
      <c r="K232" s="684"/>
      <c r="L232" s="424"/>
      <c r="M232" s="684"/>
    </row>
    <row r="233" spans="1:13" x14ac:dyDescent="0.25">
      <c r="A233" s="684"/>
      <c r="B233" s="450"/>
      <c r="C233" s="449"/>
      <c r="D233" s="446"/>
      <c r="E233" s="446"/>
      <c r="F233" s="446"/>
      <c r="G233" s="450"/>
      <c r="H233" s="450"/>
      <c r="I233" s="439"/>
      <c r="J233" s="437"/>
      <c r="K233" s="684"/>
      <c r="L233" s="424"/>
      <c r="M233" s="684"/>
    </row>
    <row r="234" spans="1:13" x14ac:dyDescent="0.25">
      <c r="A234" s="684"/>
      <c r="B234" s="450"/>
      <c r="C234" s="449"/>
      <c r="D234" s="446">
        <v>41.3</v>
      </c>
      <c r="E234" s="446" t="s">
        <v>936</v>
      </c>
      <c r="F234" s="446" t="s">
        <v>944</v>
      </c>
      <c r="G234" s="446" t="s">
        <v>944</v>
      </c>
      <c r="H234" s="446" t="s">
        <v>944</v>
      </c>
      <c r="I234" s="439"/>
      <c r="J234" s="439"/>
      <c r="K234" s="684">
        <v>12</v>
      </c>
      <c r="L234" s="424">
        <f>K234*A225</f>
        <v>4</v>
      </c>
      <c r="M234" s="684">
        <f>K234-L234</f>
        <v>8</v>
      </c>
    </row>
    <row r="235" spans="1:13" x14ac:dyDescent="0.25">
      <c r="A235" s="684"/>
      <c r="B235" s="450"/>
      <c r="C235" s="449"/>
      <c r="D235" s="446">
        <v>42.3</v>
      </c>
      <c r="E235" s="446" t="s">
        <v>938</v>
      </c>
      <c r="F235" s="446" t="s">
        <v>937</v>
      </c>
      <c r="G235" s="446" t="s">
        <v>937</v>
      </c>
      <c r="H235" s="446" t="s">
        <v>937</v>
      </c>
      <c r="I235" s="439"/>
      <c r="J235" s="439"/>
      <c r="K235" s="684"/>
      <c r="L235" s="459">
        <f>COUNTIF(F234:H237,"Father")</f>
        <v>4</v>
      </c>
      <c r="M235" s="684">
        <f>COUNTIF(F234:H237,"Mother")</f>
        <v>8</v>
      </c>
    </row>
    <row r="236" spans="1:13" x14ac:dyDescent="0.25">
      <c r="A236" s="684"/>
      <c r="B236" s="450"/>
      <c r="C236" s="449"/>
      <c r="D236" s="446">
        <v>43.3</v>
      </c>
      <c r="E236" s="446" t="s">
        <v>939</v>
      </c>
      <c r="F236" s="446" t="s">
        <v>944</v>
      </c>
      <c r="G236" s="453" t="s">
        <v>944</v>
      </c>
      <c r="H236" s="453" t="s">
        <v>944</v>
      </c>
      <c r="I236" s="439"/>
      <c r="J236" s="439"/>
      <c r="K236" s="684"/>
      <c r="L236" s="424"/>
      <c r="M236" s="684"/>
    </row>
    <row r="237" spans="1:13" x14ac:dyDescent="0.25">
      <c r="A237" s="684"/>
      <c r="B237" s="450"/>
      <c r="C237" s="449"/>
      <c r="D237" s="446">
        <v>44.3</v>
      </c>
      <c r="E237" s="446" t="s">
        <v>940</v>
      </c>
      <c r="F237" s="446" t="s">
        <v>944</v>
      </c>
      <c r="G237" s="453" t="s">
        <v>937</v>
      </c>
      <c r="H237" s="453" t="s">
        <v>944</v>
      </c>
      <c r="I237" s="439"/>
      <c r="J237" s="439"/>
      <c r="K237" s="684"/>
      <c r="L237" s="424"/>
      <c r="M237" s="684"/>
    </row>
    <row r="238" spans="1:13" x14ac:dyDescent="0.25">
      <c r="A238" s="684"/>
      <c r="B238" s="450"/>
      <c r="C238" s="449"/>
      <c r="D238" s="446"/>
      <c r="E238" s="446"/>
      <c r="F238" s="446"/>
      <c r="G238" s="450"/>
      <c r="H238" s="450"/>
      <c r="I238" s="439"/>
      <c r="J238" s="437"/>
      <c r="K238" s="684"/>
      <c r="L238" s="424"/>
      <c r="M238" s="684"/>
    </row>
    <row r="239" spans="1:13" x14ac:dyDescent="0.25">
      <c r="A239" s="684"/>
      <c r="B239" s="450"/>
      <c r="C239" s="449"/>
      <c r="D239" s="446">
        <v>51.3</v>
      </c>
      <c r="E239" s="446" t="s">
        <v>936</v>
      </c>
      <c r="F239" s="446" t="s">
        <v>944</v>
      </c>
      <c r="G239" s="446" t="s">
        <v>944</v>
      </c>
      <c r="H239" s="446" t="s">
        <v>944</v>
      </c>
      <c r="I239" s="439"/>
      <c r="J239" s="439"/>
      <c r="K239" s="684">
        <v>15</v>
      </c>
      <c r="L239" s="424">
        <f>K239*A225</f>
        <v>5</v>
      </c>
      <c r="M239" s="684">
        <f>K239-L239</f>
        <v>10</v>
      </c>
    </row>
    <row r="240" spans="1:13" x14ac:dyDescent="0.25">
      <c r="A240" s="684"/>
      <c r="B240" s="450"/>
      <c r="C240" s="449"/>
      <c r="D240" s="446">
        <v>52.3</v>
      </c>
      <c r="E240" s="446" t="s">
        <v>938</v>
      </c>
      <c r="F240" s="446" t="s">
        <v>937</v>
      </c>
      <c r="G240" s="453" t="s">
        <v>937</v>
      </c>
      <c r="H240" s="453" t="s">
        <v>937</v>
      </c>
      <c r="I240" s="439"/>
      <c r="J240" s="439"/>
      <c r="K240" s="684"/>
      <c r="L240" s="459">
        <f>COUNTIF(F239:H243,"Father")</f>
        <v>5</v>
      </c>
      <c r="M240" s="684">
        <f>COUNTIF(F239:H243,"Mother")</f>
        <v>10</v>
      </c>
    </row>
    <row r="241" spans="1:13" x14ac:dyDescent="0.25">
      <c r="A241" s="684"/>
      <c r="B241" s="450"/>
      <c r="C241" s="449"/>
      <c r="D241" s="446">
        <v>53.3</v>
      </c>
      <c r="E241" s="446" t="s">
        <v>939</v>
      </c>
      <c r="F241" s="446" t="s">
        <v>944</v>
      </c>
      <c r="G241" s="446" t="s">
        <v>944</v>
      </c>
      <c r="H241" s="446" t="s">
        <v>944</v>
      </c>
      <c r="I241" s="439"/>
      <c r="J241" s="439"/>
      <c r="K241" s="684"/>
      <c r="L241" s="424"/>
      <c r="M241" s="684"/>
    </row>
    <row r="242" spans="1:13" x14ac:dyDescent="0.25">
      <c r="A242" s="684"/>
      <c r="B242" s="450"/>
      <c r="C242" s="449"/>
      <c r="D242" s="446">
        <v>54.3</v>
      </c>
      <c r="E242" s="446" t="s">
        <v>940</v>
      </c>
      <c r="F242" s="446" t="s">
        <v>944</v>
      </c>
      <c r="G242" s="446" t="s">
        <v>944</v>
      </c>
      <c r="H242" s="446" t="s">
        <v>944</v>
      </c>
      <c r="I242" s="439"/>
      <c r="J242" s="439"/>
      <c r="K242" s="684"/>
      <c r="L242" s="424"/>
      <c r="M242" s="684"/>
    </row>
    <row r="243" spans="1:13" x14ac:dyDescent="0.25">
      <c r="A243" s="684"/>
      <c r="B243" s="450"/>
      <c r="C243" s="449"/>
      <c r="D243" s="446">
        <v>55.3</v>
      </c>
      <c r="E243" s="446" t="s">
        <v>941</v>
      </c>
      <c r="F243" s="446" t="s">
        <v>937</v>
      </c>
      <c r="G243" s="453" t="s">
        <v>944</v>
      </c>
      <c r="H243" s="453" t="s">
        <v>937</v>
      </c>
      <c r="I243" s="439"/>
      <c r="J243" s="439"/>
      <c r="K243" s="684"/>
      <c r="L243" s="424"/>
      <c r="M243" s="684"/>
    </row>
    <row r="244" spans="1:13" x14ac:dyDescent="0.25">
      <c r="A244" s="684"/>
      <c r="B244" s="450"/>
      <c r="C244" s="449"/>
      <c r="D244" s="446"/>
      <c r="E244" s="446"/>
      <c r="F244" s="446"/>
      <c r="G244" s="450"/>
      <c r="H244" s="450"/>
      <c r="I244" s="439"/>
      <c r="J244" s="437"/>
      <c r="K244" s="684"/>
      <c r="L244" s="424"/>
      <c r="M244" s="684"/>
    </row>
    <row r="245" spans="1:13" x14ac:dyDescent="0.25">
      <c r="A245" s="684"/>
      <c r="B245" s="450"/>
      <c r="C245" s="449"/>
      <c r="D245" s="446">
        <v>61.3</v>
      </c>
      <c r="E245" s="446" t="s">
        <v>936</v>
      </c>
      <c r="F245" s="446" t="s">
        <v>944</v>
      </c>
      <c r="G245" s="446" t="s">
        <v>944</v>
      </c>
      <c r="H245" s="446" t="s">
        <v>944</v>
      </c>
      <c r="I245" s="439"/>
      <c r="J245" s="439"/>
      <c r="K245" s="684">
        <v>18</v>
      </c>
      <c r="L245" s="424">
        <f>K245*A225</f>
        <v>6</v>
      </c>
      <c r="M245" s="684">
        <f>K245-L245</f>
        <v>12</v>
      </c>
    </row>
    <row r="246" spans="1:13" x14ac:dyDescent="0.25">
      <c r="A246" s="684"/>
      <c r="B246" s="450"/>
      <c r="C246" s="449"/>
      <c r="D246" s="446">
        <v>62.3</v>
      </c>
      <c r="E246" s="446" t="s">
        <v>938</v>
      </c>
      <c r="F246" s="446" t="s">
        <v>937</v>
      </c>
      <c r="G246" s="446" t="s">
        <v>937</v>
      </c>
      <c r="H246" s="446" t="s">
        <v>937</v>
      </c>
      <c r="I246" s="439"/>
      <c r="J246" s="439"/>
      <c r="K246" s="684"/>
      <c r="L246" s="459">
        <f>COUNTIF(F245:H250,"Father")</f>
        <v>6</v>
      </c>
      <c r="M246" s="684">
        <f>COUNTIF(F245:H250,"Mother")</f>
        <v>12</v>
      </c>
    </row>
    <row r="247" spans="1:13" x14ac:dyDescent="0.25">
      <c r="A247" s="684"/>
      <c r="B247" s="450"/>
      <c r="C247" s="449"/>
      <c r="D247" s="446">
        <v>63.3</v>
      </c>
      <c r="E247" s="446" t="s">
        <v>939</v>
      </c>
      <c r="F247" s="446" t="s">
        <v>944</v>
      </c>
      <c r="G247" s="446" t="s">
        <v>944</v>
      </c>
      <c r="H247" s="446" t="s">
        <v>944</v>
      </c>
      <c r="I247" s="439"/>
      <c r="J247" s="439"/>
      <c r="K247" s="684"/>
      <c r="L247" s="424"/>
      <c r="M247" s="684"/>
    </row>
    <row r="248" spans="1:13" x14ac:dyDescent="0.25">
      <c r="A248" s="684"/>
      <c r="B248" s="450"/>
      <c r="C248" s="449"/>
      <c r="D248" s="446">
        <v>64.3</v>
      </c>
      <c r="E248" s="446" t="s">
        <v>940</v>
      </c>
      <c r="F248" s="446" t="s">
        <v>944</v>
      </c>
      <c r="G248" s="446" t="s">
        <v>944</v>
      </c>
      <c r="H248" s="446" t="s">
        <v>944</v>
      </c>
      <c r="I248" s="439"/>
      <c r="J248" s="439"/>
      <c r="K248" s="684"/>
      <c r="L248" s="424"/>
      <c r="M248" s="684"/>
    </row>
    <row r="249" spans="1:13" x14ac:dyDescent="0.25">
      <c r="A249" s="684"/>
      <c r="B249" s="450"/>
      <c r="C249" s="449"/>
      <c r="D249" s="446">
        <v>65.3</v>
      </c>
      <c r="E249" s="446" t="s">
        <v>941</v>
      </c>
      <c r="F249" s="446" t="s">
        <v>937</v>
      </c>
      <c r="G249" s="446" t="s">
        <v>937</v>
      </c>
      <c r="H249" s="446" t="s">
        <v>937</v>
      </c>
      <c r="I249" s="439"/>
      <c r="J249" s="439"/>
      <c r="K249" s="684"/>
      <c r="L249" s="424"/>
      <c r="M249" s="684"/>
    </row>
    <row r="250" spans="1:13" x14ac:dyDescent="0.25">
      <c r="A250" s="632"/>
      <c r="B250" s="454"/>
      <c r="C250" s="442"/>
      <c r="D250" s="455">
        <v>66.3</v>
      </c>
      <c r="E250" s="455" t="s">
        <v>942</v>
      </c>
      <c r="F250" s="446" t="s">
        <v>944</v>
      </c>
      <c r="G250" s="446" t="s">
        <v>944</v>
      </c>
      <c r="H250" s="446" t="s">
        <v>944</v>
      </c>
      <c r="I250" s="455"/>
      <c r="J250" s="455"/>
      <c r="K250" s="632"/>
      <c r="L250" s="457"/>
      <c r="M250" s="632"/>
    </row>
    <row r="251" spans="1:13" x14ac:dyDescent="0.25">
      <c r="A251" s="856"/>
      <c r="B251" s="849"/>
      <c r="C251" s="858"/>
      <c r="D251" s="854"/>
      <c r="E251" s="854"/>
      <c r="F251" s="854"/>
      <c r="G251" s="854"/>
      <c r="H251" s="854"/>
      <c r="I251" s="854"/>
      <c r="J251" s="854"/>
      <c r="K251" s="856"/>
      <c r="L251" s="859"/>
      <c r="M251" s="856"/>
    </row>
    <row r="252" spans="1:13" x14ac:dyDescent="0.25">
      <c r="A252" s="458">
        <v>0.25</v>
      </c>
      <c r="B252" s="450">
        <v>0.25</v>
      </c>
      <c r="C252" s="716" t="s">
        <v>951</v>
      </c>
      <c r="D252" s="446">
        <v>11.25</v>
      </c>
      <c r="E252" s="446" t="s">
        <v>936</v>
      </c>
      <c r="F252" s="446" t="s">
        <v>944</v>
      </c>
      <c r="G252" s="446" t="s">
        <v>944</v>
      </c>
      <c r="H252" s="446" t="s">
        <v>944</v>
      </c>
      <c r="I252" s="446" t="s">
        <v>937</v>
      </c>
      <c r="J252" s="439"/>
      <c r="K252" s="684">
        <v>4</v>
      </c>
      <c r="L252" s="424">
        <f>K252*A252</f>
        <v>1</v>
      </c>
      <c r="M252" s="684">
        <f>K252-L252</f>
        <v>3</v>
      </c>
    </row>
    <row r="253" spans="1:13" x14ac:dyDescent="0.25">
      <c r="A253" s="684"/>
      <c r="B253" s="450"/>
      <c r="C253" s="449"/>
      <c r="D253" s="446"/>
      <c r="E253" s="446"/>
      <c r="F253" s="446"/>
      <c r="G253" s="450"/>
      <c r="H253" s="450"/>
      <c r="I253" s="450"/>
      <c r="J253" s="439"/>
      <c r="K253" s="684"/>
      <c r="L253" s="424"/>
      <c r="M253" s="684"/>
    </row>
    <row r="254" spans="1:13" x14ac:dyDescent="0.25">
      <c r="A254" s="684"/>
      <c r="B254" s="450"/>
      <c r="C254" s="449"/>
      <c r="D254" s="446">
        <v>21.25</v>
      </c>
      <c r="E254" s="446" t="s">
        <v>936</v>
      </c>
      <c r="F254" s="446" t="s">
        <v>944</v>
      </c>
      <c r="G254" s="453" t="s">
        <v>944</v>
      </c>
      <c r="H254" s="446" t="s">
        <v>944</v>
      </c>
      <c r="I254" s="453" t="s">
        <v>944</v>
      </c>
      <c r="J254" s="439"/>
      <c r="K254" s="684">
        <v>8</v>
      </c>
      <c r="L254" s="424">
        <f>K254*A252</f>
        <v>2</v>
      </c>
      <c r="M254" s="684">
        <f>K254-L254</f>
        <v>6</v>
      </c>
    </row>
    <row r="255" spans="1:13" x14ac:dyDescent="0.25">
      <c r="A255" s="684"/>
      <c r="B255" s="450"/>
      <c r="C255" s="449"/>
      <c r="D255" s="446">
        <v>22.25</v>
      </c>
      <c r="E255" s="446" t="s">
        <v>938</v>
      </c>
      <c r="F255" s="446" t="s">
        <v>944</v>
      </c>
      <c r="G255" s="453" t="s">
        <v>937</v>
      </c>
      <c r="H255" s="446" t="s">
        <v>944</v>
      </c>
      <c r="I255" s="453" t="s">
        <v>937</v>
      </c>
      <c r="J255" s="439"/>
      <c r="K255" s="684"/>
      <c r="L255" s="424">
        <f>COUNTIF(F254:I255,"Father")</f>
        <v>2</v>
      </c>
      <c r="M255" s="684">
        <f>COUNTIF(F254:I255,"Mother")</f>
        <v>6</v>
      </c>
    </row>
    <row r="256" spans="1:13" x14ac:dyDescent="0.25">
      <c r="A256" s="684"/>
      <c r="B256" s="450"/>
      <c r="C256" s="449"/>
      <c r="D256" s="446"/>
      <c r="E256" s="446"/>
      <c r="F256" s="446"/>
      <c r="G256" s="450"/>
      <c r="H256" s="450"/>
      <c r="I256" s="450"/>
      <c r="J256" s="439"/>
      <c r="K256" s="684"/>
      <c r="L256" s="424"/>
      <c r="M256" s="684"/>
    </row>
    <row r="257" spans="1:13" x14ac:dyDescent="0.25">
      <c r="A257" s="684"/>
      <c r="B257" s="450"/>
      <c r="C257" s="449"/>
      <c r="D257" s="446">
        <v>31.25</v>
      </c>
      <c r="E257" s="446" t="s">
        <v>936</v>
      </c>
      <c r="F257" s="446" t="s">
        <v>944</v>
      </c>
      <c r="G257" s="450" t="s">
        <v>944</v>
      </c>
      <c r="H257" s="450" t="s">
        <v>944</v>
      </c>
      <c r="I257" s="450" t="s">
        <v>944</v>
      </c>
      <c r="J257" s="439"/>
      <c r="K257" s="684">
        <v>12</v>
      </c>
      <c r="L257" s="424">
        <f>K257*A252</f>
        <v>3</v>
      </c>
      <c r="M257" s="684">
        <f>K257-L257</f>
        <v>9</v>
      </c>
    </row>
    <row r="258" spans="1:13" x14ac:dyDescent="0.25">
      <c r="A258" s="684"/>
      <c r="B258" s="450"/>
      <c r="C258" s="449"/>
      <c r="D258" s="446">
        <v>32.25</v>
      </c>
      <c r="E258" s="446" t="s">
        <v>938</v>
      </c>
      <c r="F258" s="446" t="s">
        <v>944</v>
      </c>
      <c r="G258" s="450" t="s">
        <v>944</v>
      </c>
      <c r="H258" s="450" t="s">
        <v>944</v>
      </c>
      <c r="I258" s="450" t="s">
        <v>944</v>
      </c>
      <c r="J258" s="439"/>
      <c r="K258" s="684"/>
      <c r="L258" s="424">
        <f>COUNTIF(F257:I259,"Father")</f>
        <v>3</v>
      </c>
      <c r="M258" s="684">
        <f>COUNTIF(F257:I259,"Mother")</f>
        <v>9</v>
      </c>
    </row>
    <row r="259" spans="1:13" x14ac:dyDescent="0.25">
      <c r="A259" s="684"/>
      <c r="B259" s="450"/>
      <c r="C259" s="449"/>
      <c r="D259" s="446">
        <v>33.25</v>
      </c>
      <c r="E259" s="446" t="s">
        <v>939</v>
      </c>
      <c r="F259" s="446" t="s">
        <v>937</v>
      </c>
      <c r="G259" s="446" t="s">
        <v>937</v>
      </c>
      <c r="H259" s="446" t="s">
        <v>937</v>
      </c>
      <c r="I259" s="446" t="s">
        <v>944</v>
      </c>
      <c r="J259" s="439"/>
      <c r="K259" s="684"/>
      <c r="L259" s="424"/>
      <c r="M259" s="684"/>
    </row>
    <row r="260" spans="1:13" x14ac:dyDescent="0.25">
      <c r="A260" s="684"/>
      <c r="B260" s="450"/>
      <c r="C260" s="449"/>
      <c r="D260" s="446"/>
      <c r="E260" s="446"/>
      <c r="F260" s="446"/>
      <c r="G260" s="450"/>
      <c r="H260" s="450"/>
      <c r="I260" s="450"/>
      <c r="J260" s="439"/>
      <c r="K260" s="684"/>
      <c r="L260" s="424"/>
      <c r="M260" s="684"/>
    </row>
    <row r="261" spans="1:13" x14ac:dyDescent="0.25">
      <c r="A261" s="684"/>
      <c r="B261" s="450"/>
      <c r="C261" s="449"/>
      <c r="D261" s="446">
        <v>41.25</v>
      </c>
      <c r="E261" s="446" t="s">
        <v>936</v>
      </c>
      <c r="F261" s="450" t="s">
        <v>944</v>
      </c>
      <c r="G261" s="450" t="s">
        <v>944</v>
      </c>
      <c r="H261" s="450" t="s">
        <v>944</v>
      </c>
      <c r="I261" s="450" t="s">
        <v>944</v>
      </c>
      <c r="J261" s="439"/>
      <c r="K261" s="684">
        <v>16</v>
      </c>
      <c r="L261" s="424">
        <f>K261*A252</f>
        <v>4</v>
      </c>
      <c r="M261" s="684">
        <f>K261-L261</f>
        <v>12</v>
      </c>
    </row>
    <row r="262" spans="1:13" x14ac:dyDescent="0.25">
      <c r="A262" s="684"/>
      <c r="B262" s="450"/>
      <c r="C262" s="449"/>
      <c r="D262" s="446">
        <v>42.25</v>
      </c>
      <c r="E262" s="446" t="s">
        <v>938</v>
      </c>
      <c r="F262" s="450" t="s">
        <v>944</v>
      </c>
      <c r="G262" s="450" t="s">
        <v>944</v>
      </c>
      <c r="H262" s="450" t="s">
        <v>944</v>
      </c>
      <c r="I262" s="450" t="s">
        <v>944</v>
      </c>
      <c r="J262" s="437"/>
      <c r="K262" s="684"/>
      <c r="L262" s="424">
        <f>COUNTIF(F261:I264,"Father")</f>
        <v>4</v>
      </c>
      <c r="M262" s="684">
        <f>COUNTIF(F261:I264,"Mother")</f>
        <v>12</v>
      </c>
    </row>
    <row r="263" spans="1:13" x14ac:dyDescent="0.25">
      <c r="A263" s="684"/>
      <c r="B263" s="450"/>
      <c r="C263" s="449"/>
      <c r="D263" s="446">
        <v>43.25</v>
      </c>
      <c r="E263" s="446" t="s">
        <v>939</v>
      </c>
      <c r="F263" s="450" t="s">
        <v>944</v>
      </c>
      <c r="G263" s="450" t="s">
        <v>944</v>
      </c>
      <c r="H263" s="450" t="s">
        <v>944</v>
      </c>
      <c r="I263" s="450" t="s">
        <v>944</v>
      </c>
      <c r="J263" s="437"/>
      <c r="K263" s="684"/>
      <c r="L263" s="424"/>
      <c r="M263" s="684"/>
    </row>
    <row r="264" spans="1:13" x14ac:dyDescent="0.25">
      <c r="A264" s="684"/>
      <c r="B264" s="450"/>
      <c r="C264" s="449"/>
      <c r="D264" s="446">
        <v>44.25</v>
      </c>
      <c r="E264" s="446" t="s">
        <v>940</v>
      </c>
      <c r="F264" s="446" t="s">
        <v>937</v>
      </c>
      <c r="G264" s="446" t="s">
        <v>937</v>
      </c>
      <c r="H264" s="446" t="s">
        <v>937</v>
      </c>
      <c r="I264" s="446" t="s">
        <v>937</v>
      </c>
      <c r="J264" s="439"/>
      <c r="K264" s="684"/>
      <c r="L264" s="424"/>
      <c r="M264" s="684"/>
    </row>
    <row r="265" spans="1:13" x14ac:dyDescent="0.25">
      <c r="A265" s="684"/>
      <c r="B265" s="450"/>
      <c r="C265" s="449"/>
      <c r="D265" s="446"/>
      <c r="E265" s="446"/>
      <c r="F265" s="446"/>
      <c r="G265" s="450"/>
      <c r="H265" s="450"/>
      <c r="I265" s="450"/>
      <c r="J265" s="439"/>
      <c r="K265" s="684"/>
      <c r="L265" s="424"/>
      <c r="M265" s="684"/>
    </row>
    <row r="266" spans="1:13" x14ac:dyDescent="0.25">
      <c r="A266" s="684"/>
      <c r="B266" s="450"/>
      <c r="C266" s="449"/>
      <c r="D266" s="446">
        <v>51.25</v>
      </c>
      <c r="E266" s="446" t="s">
        <v>936</v>
      </c>
      <c r="F266" s="446" t="s">
        <v>944</v>
      </c>
      <c r="G266" s="446" t="s">
        <v>944</v>
      </c>
      <c r="H266" s="446" t="s">
        <v>944</v>
      </c>
      <c r="I266" s="446" t="s">
        <v>944</v>
      </c>
      <c r="J266" s="439"/>
      <c r="K266" s="684">
        <v>20</v>
      </c>
      <c r="L266" s="424">
        <f>K266*A252</f>
        <v>5</v>
      </c>
      <c r="M266" s="684">
        <f>K266-L266</f>
        <v>15</v>
      </c>
    </row>
    <row r="267" spans="1:13" x14ac:dyDescent="0.25">
      <c r="A267" s="684"/>
      <c r="B267" s="450"/>
      <c r="C267" s="449"/>
      <c r="D267" s="446">
        <v>52.25</v>
      </c>
      <c r="E267" s="446" t="s">
        <v>938</v>
      </c>
      <c r="F267" s="446" t="s">
        <v>944</v>
      </c>
      <c r="G267" s="446" t="s">
        <v>944</v>
      </c>
      <c r="H267" s="446" t="s">
        <v>944</v>
      </c>
      <c r="I267" s="453" t="s">
        <v>944</v>
      </c>
      <c r="J267" s="439"/>
      <c r="K267" s="684"/>
      <c r="L267" s="424">
        <f>COUNTIF(F266:I270,"Father")</f>
        <v>5</v>
      </c>
      <c r="M267" s="684">
        <f>COUNTIF(F266:I270,"Mother")</f>
        <v>15</v>
      </c>
    </row>
    <row r="268" spans="1:13" x14ac:dyDescent="0.25">
      <c r="A268" s="684"/>
      <c r="B268" s="450"/>
      <c r="C268" s="449"/>
      <c r="D268" s="446">
        <v>53.25</v>
      </c>
      <c r="E268" s="446" t="s">
        <v>939</v>
      </c>
      <c r="F268" s="446" t="s">
        <v>944</v>
      </c>
      <c r="G268" s="446" t="s">
        <v>944</v>
      </c>
      <c r="H268" s="446" t="s">
        <v>944</v>
      </c>
      <c r="I268" s="446" t="s">
        <v>944</v>
      </c>
      <c r="J268" s="439"/>
      <c r="K268" s="684"/>
      <c r="L268" s="424"/>
      <c r="M268" s="684"/>
    </row>
    <row r="269" spans="1:13" x14ac:dyDescent="0.25">
      <c r="A269" s="684"/>
      <c r="B269" s="450"/>
      <c r="C269" s="449"/>
      <c r="D269" s="446">
        <v>54.25</v>
      </c>
      <c r="E269" s="446" t="s">
        <v>940</v>
      </c>
      <c r="F269" s="453" t="s">
        <v>937</v>
      </c>
      <c r="G269" s="446" t="s">
        <v>944</v>
      </c>
      <c r="H269" s="446" t="s">
        <v>944</v>
      </c>
      <c r="I269" s="453" t="s">
        <v>944</v>
      </c>
      <c r="J269" s="439"/>
      <c r="K269" s="684"/>
      <c r="L269" s="424"/>
      <c r="M269" s="684"/>
    </row>
    <row r="270" spans="1:13" x14ac:dyDescent="0.25">
      <c r="A270" s="684"/>
      <c r="B270" s="450"/>
      <c r="C270" s="449"/>
      <c r="D270" s="446">
        <v>55.25</v>
      </c>
      <c r="E270" s="446" t="s">
        <v>941</v>
      </c>
      <c r="F270" s="446" t="s">
        <v>937</v>
      </c>
      <c r="G270" s="446" t="s">
        <v>937</v>
      </c>
      <c r="H270" s="446" t="s">
        <v>937</v>
      </c>
      <c r="I270" s="446" t="s">
        <v>937</v>
      </c>
      <c r="J270" s="439"/>
      <c r="K270" s="684"/>
      <c r="L270" s="424"/>
      <c r="M270" s="684"/>
    </row>
    <row r="271" spans="1:13" x14ac:dyDescent="0.25">
      <c r="A271" s="684"/>
      <c r="B271" s="450"/>
      <c r="C271" s="449"/>
      <c r="D271" s="446"/>
      <c r="E271" s="446"/>
      <c r="F271" s="446"/>
      <c r="G271" s="450"/>
      <c r="H271" s="450"/>
      <c r="I271" s="450"/>
      <c r="J271" s="439"/>
      <c r="K271" s="684"/>
      <c r="L271" s="424"/>
      <c r="M271" s="684"/>
    </row>
    <row r="272" spans="1:13" x14ac:dyDescent="0.25">
      <c r="A272" s="684"/>
      <c r="B272" s="450"/>
      <c r="C272" s="449"/>
      <c r="D272" s="446">
        <v>61.25</v>
      </c>
      <c r="E272" s="446" t="s">
        <v>936</v>
      </c>
      <c r="F272" s="446" t="s">
        <v>944</v>
      </c>
      <c r="G272" s="446" t="s">
        <v>944</v>
      </c>
      <c r="H272" s="446" t="s">
        <v>944</v>
      </c>
      <c r="I272" s="446" t="s">
        <v>944</v>
      </c>
      <c r="J272" s="439"/>
      <c r="K272" s="684">
        <v>24</v>
      </c>
      <c r="L272" s="424">
        <f>K272*A252</f>
        <v>6</v>
      </c>
      <c r="M272" s="684">
        <f>K272-L272</f>
        <v>18</v>
      </c>
    </row>
    <row r="273" spans="1:13" x14ac:dyDescent="0.25">
      <c r="A273" s="684"/>
      <c r="B273" s="450"/>
      <c r="C273" s="449"/>
      <c r="D273" s="446">
        <v>62.25</v>
      </c>
      <c r="E273" s="446" t="s">
        <v>938</v>
      </c>
      <c r="F273" s="446" t="s">
        <v>944</v>
      </c>
      <c r="G273" s="446" t="s">
        <v>944</v>
      </c>
      <c r="H273" s="446" t="s">
        <v>944</v>
      </c>
      <c r="I273" s="446" t="s">
        <v>944</v>
      </c>
      <c r="J273" s="439"/>
      <c r="K273" s="684"/>
      <c r="L273" s="424">
        <f>COUNTIF(F272:I277,"Father")</f>
        <v>6</v>
      </c>
      <c r="M273" s="684">
        <f>COUNTIF(F272:I277,"Mother")</f>
        <v>18</v>
      </c>
    </row>
    <row r="274" spans="1:13" x14ac:dyDescent="0.25">
      <c r="A274" s="684"/>
      <c r="B274" s="450"/>
      <c r="C274" s="449"/>
      <c r="D274" s="446">
        <v>63.25</v>
      </c>
      <c r="E274" s="446" t="s">
        <v>939</v>
      </c>
      <c r="F274" s="446" t="s">
        <v>944</v>
      </c>
      <c r="G274" s="446" t="s">
        <v>944</v>
      </c>
      <c r="H274" s="446" t="s">
        <v>944</v>
      </c>
      <c r="I274" s="446" t="s">
        <v>944</v>
      </c>
      <c r="J274" s="439"/>
      <c r="K274" s="684"/>
      <c r="L274" s="424"/>
      <c r="M274" s="684"/>
    </row>
    <row r="275" spans="1:13" x14ac:dyDescent="0.25">
      <c r="A275" s="684"/>
      <c r="B275" s="450"/>
      <c r="C275" s="449"/>
      <c r="D275" s="446">
        <v>64.25</v>
      </c>
      <c r="E275" s="446" t="s">
        <v>940</v>
      </c>
      <c r="F275" s="446" t="s">
        <v>944</v>
      </c>
      <c r="G275" s="446" t="s">
        <v>944</v>
      </c>
      <c r="H275" s="446" t="s">
        <v>944</v>
      </c>
      <c r="I275" s="446" t="s">
        <v>944</v>
      </c>
      <c r="J275" s="439"/>
      <c r="K275" s="684"/>
      <c r="L275" s="424"/>
      <c r="M275" s="684"/>
    </row>
    <row r="276" spans="1:13" x14ac:dyDescent="0.25">
      <c r="A276" s="684"/>
      <c r="B276" s="450"/>
      <c r="C276" s="449"/>
      <c r="D276" s="446">
        <v>65.25</v>
      </c>
      <c r="E276" s="446" t="s">
        <v>941</v>
      </c>
      <c r="F276" s="446" t="s">
        <v>937</v>
      </c>
      <c r="G276" s="446" t="s">
        <v>944</v>
      </c>
      <c r="H276" s="446" t="s">
        <v>937</v>
      </c>
      <c r="I276" s="446" t="s">
        <v>944</v>
      </c>
      <c r="J276" s="439"/>
      <c r="K276" s="684"/>
      <c r="L276" s="424"/>
      <c r="M276" s="684"/>
    </row>
    <row r="277" spans="1:13" x14ac:dyDescent="0.25">
      <c r="A277" s="632"/>
      <c r="B277" s="454"/>
      <c r="C277" s="442"/>
      <c r="D277" s="455">
        <v>66.25</v>
      </c>
      <c r="E277" s="455" t="s">
        <v>942</v>
      </c>
      <c r="F277" s="455" t="s">
        <v>937</v>
      </c>
      <c r="G277" s="455" t="s">
        <v>937</v>
      </c>
      <c r="H277" s="455" t="s">
        <v>937</v>
      </c>
      <c r="I277" s="455" t="s">
        <v>937</v>
      </c>
      <c r="J277" s="455"/>
      <c r="K277" s="632"/>
      <c r="L277" s="457"/>
      <c r="M277" s="632"/>
    </row>
    <row r="278" spans="1:13" x14ac:dyDescent="0.25">
      <c r="A278" s="684"/>
      <c r="B278" s="450"/>
      <c r="C278" s="449"/>
      <c r="D278" s="446"/>
      <c r="E278" s="446"/>
      <c r="F278" s="446"/>
      <c r="G278" s="450"/>
      <c r="H278" s="450"/>
      <c r="I278" s="450"/>
      <c r="J278" s="450"/>
      <c r="K278" s="684"/>
      <c r="L278" s="424"/>
      <c r="M278" s="684"/>
    </row>
    <row r="279" spans="1:13" x14ac:dyDescent="0.25">
      <c r="A279" s="458">
        <v>0.2</v>
      </c>
      <c r="B279" s="450">
        <v>0.2</v>
      </c>
      <c r="C279" s="716" t="s">
        <v>952</v>
      </c>
      <c r="D279" s="446">
        <v>11.2</v>
      </c>
      <c r="E279" s="446" t="s">
        <v>936</v>
      </c>
      <c r="F279" s="446" t="s">
        <v>944</v>
      </c>
      <c r="G279" s="450" t="s">
        <v>944</v>
      </c>
      <c r="H279" s="450" t="s">
        <v>944</v>
      </c>
      <c r="I279" s="450" t="s">
        <v>944</v>
      </c>
      <c r="J279" s="450" t="s">
        <v>937</v>
      </c>
      <c r="K279" s="684">
        <v>5</v>
      </c>
      <c r="L279" s="436">
        <f>K279*A279</f>
        <v>1</v>
      </c>
      <c r="M279" s="684">
        <f>K279-L279</f>
        <v>4</v>
      </c>
    </row>
    <row r="280" spans="1:13" x14ac:dyDescent="0.25">
      <c r="A280" s="684"/>
      <c r="B280" s="450"/>
      <c r="C280" s="449"/>
      <c r="D280" s="446"/>
      <c r="E280" s="446"/>
      <c r="F280" s="446"/>
      <c r="G280" s="450"/>
      <c r="H280" s="450"/>
      <c r="I280" s="450"/>
      <c r="J280" s="450"/>
      <c r="K280" s="684"/>
      <c r="L280" s="424"/>
      <c r="M280" s="684"/>
    </row>
    <row r="281" spans="1:13" x14ac:dyDescent="0.25">
      <c r="A281" s="684"/>
      <c r="B281" s="450"/>
      <c r="C281" s="449"/>
      <c r="D281" s="446">
        <v>21.2</v>
      </c>
      <c r="E281" s="446" t="s">
        <v>936</v>
      </c>
      <c r="F281" s="446" t="s">
        <v>944</v>
      </c>
      <c r="G281" s="452" t="s">
        <v>944</v>
      </c>
      <c r="H281" s="450" t="s">
        <v>944</v>
      </c>
      <c r="I281" s="452" t="s">
        <v>944</v>
      </c>
      <c r="J281" s="450" t="s">
        <v>944</v>
      </c>
      <c r="K281" s="684">
        <v>10</v>
      </c>
      <c r="L281" s="436">
        <f>K281*A279</f>
        <v>2</v>
      </c>
      <c r="M281" s="684">
        <f>K281-L281</f>
        <v>8</v>
      </c>
    </row>
    <row r="282" spans="1:13" x14ac:dyDescent="0.25">
      <c r="A282" s="684"/>
      <c r="B282" s="450"/>
      <c r="C282" s="449"/>
      <c r="D282" s="446">
        <v>22.2</v>
      </c>
      <c r="E282" s="446" t="s">
        <v>938</v>
      </c>
      <c r="F282" s="446" t="s">
        <v>944</v>
      </c>
      <c r="G282" s="452" t="s">
        <v>937</v>
      </c>
      <c r="H282" s="450" t="s">
        <v>944</v>
      </c>
      <c r="I282" s="452" t="s">
        <v>937</v>
      </c>
      <c r="J282" s="450" t="s">
        <v>944</v>
      </c>
      <c r="K282" s="684"/>
      <c r="L282" s="424">
        <f>COUNTIF(F281:J282,"Father")</f>
        <v>2</v>
      </c>
      <c r="M282" s="684">
        <f>COUNTIF(E281:J282,"Mother")</f>
        <v>8</v>
      </c>
    </row>
    <row r="283" spans="1:13" x14ac:dyDescent="0.25">
      <c r="A283" s="684"/>
      <c r="B283" s="450"/>
      <c r="C283" s="449"/>
      <c r="D283" s="446"/>
      <c r="E283" s="446"/>
      <c r="F283" s="446"/>
      <c r="G283" s="450"/>
      <c r="H283" s="450"/>
      <c r="I283" s="450"/>
      <c r="J283" s="450"/>
      <c r="K283" s="684"/>
      <c r="L283" s="424"/>
      <c r="M283" s="684"/>
    </row>
    <row r="284" spans="1:13" x14ac:dyDescent="0.25">
      <c r="A284" s="684"/>
      <c r="B284" s="450"/>
      <c r="C284" s="449"/>
      <c r="D284" s="446">
        <v>31.2</v>
      </c>
      <c r="E284" s="446" t="s">
        <v>936</v>
      </c>
      <c r="F284" s="446" t="s">
        <v>944</v>
      </c>
      <c r="G284" s="450" t="s">
        <v>944</v>
      </c>
      <c r="H284" s="446" t="s">
        <v>944</v>
      </c>
      <c r="I284" s="450" t="s">
        <v>944</v>
      </c>
      <c r="J284" s="446" t="s">
        <v>944</v>
      </c>
      <c r="K284" s="684">
        <v>15</v>
      </c>
      <c r="L284" s="424">
        <f>K284*A279</f>
        <v>3</v>
      </c>
      <c r="M284" s="684">
        <f>K284-L284</f>
        <v>12</v>
      </c>
    </row>
    <row r="285" spans="1:13" x14ac:dyDescent="0.25">
      <c r="A285" s="684"/>
      <c r="B285" s="450"/>
      <c r="C285" s="449"/>
      <c r="D285" s="446">
        <v>32.200000000000003</v>
      </c>
      <c r="E285" s="446" t="s">
        <v>938</v>
      </c>
      <c r="F285" s="446" t="s">
        <v>944</v>
      </c>
      <c r="G285" s="450" t="s">
        <v>944</v>
      </c>
      <c r="H285" s="446" t="s">
        <v>944</v>
      </c>
      <c r="I285" s="450" t="s">
        <v>944</v>
      </c>
      <c r="J285" s="446" t="s">
        <v>944</v>
      </c>
      <c r="K285" s="684"/>
      <c r="L285" s="424">
        <f>COUNTIF(F284:J286,"Father")</f>
        <v>3</v>
      </c>
      <c r="M285" s="684">
        <f>COUNTIF(F284:J286,"Mother")</f>
        <v>12</v>
      </c>
    </row>
    <row r="286" spans="1:13" x14ac:dyDescent="0.25">
      <c r="A286" s="684"/>
      <c r="B286" s="450"/>
      <c r="C286" s="449"/>
      <c r="D286" s="446">
        <v>33.200000000000003</v>
      </c>
      <c r="E286" s="446" t="s">
        <v>939</v>
      </c>
      <c r="F286" s="446" t="s">
        <v>937</v>
      </c>
      <c r="G286" s="450" t="s">
        <v>944</v>
      </c>
      <c r="H286" s="446" t="s">
        <v>937</v>
      </c>
      <c r="I286" s="450" t="s">
        <v>944</v>
      </c>
      <c r="J286" s="446" t="s">
        <v>937</v>
      </c>
      <c r="K286" s="684"/>
      <c r="L286" s="424"/>
      <c r="M286" s="684"/>
    </row>
    <row r="287" spans="1:13" x14ac:dyDescent="0.25">
      <c r="A287" s="684"/>
      <c r="B287" s="450"/>
      <c r="C287" s="449"/>
      <c r="D287" s="446"/>
      <c r="E287" s="446"/>
      <c r="F287" s="446"/>
      <c r="G287" s="450"/>
      <c r="H287" s="450"/>
      <c r="I287" s="450"/>
      <c r="J287" s="450"/>
      <c r="K287" s="684"/>
      <c r="L287" s="424"/>
      <c r="M287" s="684"/>
    </row>
    <row r="288" spans="1:13" x14ac:dyDescent="0.25">
      <c r="A288" s="684"/>
      <c r="B288" s="450"/>
      <c r="C288" s="449"/>
      <c r="D288" s="446">
        <v>41.2</v>
      </c>
      <c r="E288" s="446" t="s">
        <v>936</v>
      </c>
      <c r="F288" s="446" t="s">
        <v>944</v>
      </c>
      <c r="G288" s="450" t="s">
        <v>944</v>
      </c>
      <c r="H288" s="446" t="s">
        <v>944</v>
      </c>
      <c r="I288" s="446" t="s">
        <v>944</v>
      </c>
      <c r="J288" s="446" t="s">
        <v>944</v>
      </c>
      <c r="K288" s="684">
        <v>20</v>
      </c>
      <c r="L288" s="424">
        <f>K288*A279</f>
        <v>4</v>
      </c>
      <c r="M288" s="684">
        <f>K288-L288</f>
        <v>16</v>
      </c>
    </row>
    <row r="289" spans="1:13" x14ac:dyDescent="0.25">
      <c r="A289" s="684"/>
      <c r="B289" s="450"/>
      <c r="C289" s="449"/>
      <c r="D289" s="446">
        <v>42.2</v>
      </c>
      <c r="E289" s="446" t="s">
        <v>938</v>
      </c>
      <c r="F289" s="446" t="s">
        <v>944</v>
      </c>
      <c r="G289" s="450" t="s">
        <v>944</v>
      </c>
      <c r="H289" s="446" t="s">
        <v>944</v>
      </c>
      <c r="I289" s="446" t="s">
        <v>944</v>
      </c>
      <c r="J289" s="446" t="s">
        <v>944</v>
      </c>
      <c r="K289" s="684"/>
      <c r="L289" s="424">
        <f>COUNTIF(F288:J291,"Father")</f>
        <v>4</v>
      </c>
      <c r="M289" s="684">
        <f>COUNTIF(F288:J291,"Mother")</f>
        <v>16</v>
      </c>
    </row>
    <row r="290" spans="1:13" x14ac:dyDescent="0.25">
      <c r="A290" s="684"/>
      <c r="B290" s="450"/>
      <c r="C290" s="449"/>
      <c r="D290" s="446">
        <v>43.2</v>
      </c>
      <c r="E290" s="446" t="s">
        <v>939</v>
      </c>
      <c r="F290" s="446" t="s">
        <v>944</v>
      </c>
      <c r="G290" s="450" t="s">
        <v>944</v>
      </c>
      <c r="H290" s="446" t="s">
        <v>944</v>
      </c>
      <c r="I290" s="446" t="s">
        <v>944</v>
      </c>
      <c r="J290" s="446" t="s">
        <v>944</v>
      </c>
      <c r="K290" s="684"/>
      <c r="L290" s="424"/>
      <c r="M290" s="684"/>
    </row>
    <row r="291" spans="1:13" x14ac:dyDescent="0.25">
      <c r="A291" s="684"/>
      <c r="B291" s="450"/>
      <c r="C291" s="449"/>
      <c r="D291" s="446">
        <v>44.2</v>
      </c>
      <c r="E291" s="446" t="s">
        <v>940</v>
      </c>
      <c r="F291" s="446" t="s">
        <v>937</v>
      </c>
      <c r="G291" s="446" t="s">
        <v>937</v>
      </c>
      <c r="H291" s="450" t="s">
        <v>937</v>
      </c>
      <c r="I291" s="446" t="s">
        <v>937</v>
      </c>
      <c r="J291" s="446" t="s">
        <v>944</v>
      </c>
      <c r="K291" s="684"/>
      <c r="L291" s="424"/>
      <c r="M291" s="684"/>
    </row>
    <row r="292" spans="1:13" x14ac:dyDescent="0.25">
      <c r="A292" s="684"/>
      <c r="B292" s="450"/>
      <c r="C292" s="449"/>
      <c r="D292" s="446"/>
      <c r="E292" s="446"/>
      <c r="F292" s="446"/>
      <c r="G292" s="450"/>
      <c r="H292" s="450"/>
      <c r="I292" s="450"/>
      <c r="J292" s="450"/>
      <c r="K292" s="684"/>
      <c r="L292" s="424"/>
      <c r="M292" s="684"/>
    </row>
    <row r="293" spans="1:13" x14ac:dyDescent="0.25">
      <c r="A293" s="684"/>
      <c r="B293" s="450"/>
      <c r="C293" s="449"/>
      <c r="D293" s="446">
        <v>51.2</v>
      </c>
      <c r="E293" s="446" t="s">
        <v>936</v>
      </c>
      <c r="F293" s="446" t="s">
        <v>944</v>
      </c>
      <c r="G293" s="446" t="s">
        <v>944</v>
      </c>
      <c r="H293" s="446" t="s">
        <v>944</v>
      </c>
      <c r="I293" s="446" t="s">
        <v>944</v>
      </c>
      <c r="J293" s="446" t="s">
        <v>944</v>
      </c>
      <c r="K293" s="684">
        <v>25</v>
      </c>
      <c r="L293" s="424">
        <f>K293*A279</f>
        <v>5</v>
      </c>
      <c r="M293" s="684">
        <f>K293-L293</f>
        <v>20</v>
      </c>
    </row>
    <row r="294" spans="1:13" x14ac:dyDescent="0.25">
      <c r="A294" s="684"/>
      <c r="B294" s="450"/>
      <c r="C294" s="449"/>
      <c r="D294" s="446">
        <v>52.2</v>
      </c>
      <c r="E294" s="446" t="s">
        <v>938</v>
      </c>
      <c r="F294" s="446" t="s">
        <v>944</v>
      </c>
      <c r="G294" s="446" t="s">
        <v>944</v>
      </c>
      <c r="H294" s="446" t="s">
        <v>944</v>
      </c>
      <c r="I294" s="446" t="s">
        <v>944</v>
      </c>
      <c r="J294" s="446" t="s">
        <v>944</v>
      </c>
      <c r="K294" s="684"/>
      <c r="L294" s="424">
        <f>COUNTIF(F293:J297,"Father")</f>
        <v>5</v>
      </c>
      <c r="M294" s="684">
        <f>COUNTIF(F293:J297,"Mother")</f>
        <v>20</v>
      </c>
    </row>
    <row r="295" spans="1:13" x14ac:dyDescent="0.25">
      <c r="A295" s="684"/>
      <c r="B295" s="450"/>
      <c r="C295" s="449"/>
      <c r="D295" s="446">
        <v>53.2</v>
      </c>
      <c r="E295" s="446" t="s">
        <v>939</v>
      </c>
      <c r="F295" s="446" t="s">
        <v>937</v>
      </c>
      <c r="G295" s="446" t="s">
        <v>937</v>
      </c>
      <c r="H295" s="446" t="s">
        <v>937</v>
      </c>
      <c r="I295" s="446" t="s">
        <v>937</v>
      </c>
      <c r="J295" s="446" t="s">
        <v>937</v>
      </c>
      <c r="K295" s="684"/>
      <c r="L295" s="424"/>
      <c r="M295" s="684"/>
    </row>
    <row r="296" spans="1:13" x14ac:dyDescent="0.25">
      <c r="A296" s="684"/>
      <c r="B296" s="450"/>
      <c r="C296" s="449"/>
      <c r="D296" s="446">
        <v>54.2</v>
      </c>
      <c r="E296" s="446" t="s">
        <v>940</v>
      </c>
      <c r="F296" s="446" t="s">
        <v>944</v>
      </c>
      <c r="G296" s="446" t="s">
        <v>944</v>
      </c>
      <c r="H296" s="446" t="s">
        <v>944</v>
      </c>
      <c r="I296" s="446" t="s">
        <v>944</v>
      </c>
      <c r="J296" s="446" t="s">
        <v>944</v>
      </c>
      <c r="K296" s="684"/>
      <c r="L296" s="424"/>
      <c r="M296" s="684"/>
    </row>
    <row r="297" spans="1:13" x14ac:dyDescent="0.25">
      <c r="A297" s="684"/>
      <c r="B297" s="450"/>
      <c r="C297" s="449"/>
      <c r="D297" s="446">
        <v>55.2</v>
      </c>
      <c r="E297" s="446" t="s">
        <v>941</v>
      </c>
      <c r="F297" s="446" t="s">
        <v>944</v>
      </c>
      <c r="G297" s="446" t="s">
        <v>944</v>
      </c>
      <c r="H297" s="446" t="s">
        <v>944</v>
      </c>
      <c r="I297" s="446" t="s">
        <v>944</v>
      </c>
      <c r="J297" s="446" t="s">
        <v>944</v>
      </c>
      <c r="K297" s="684"/>
      <c r="L297" s="424"/>
      <c r="M297" s="684"/>
    </row>
    <row r="298" spans="1:13" x14ac:dyDescent="0.25">
      <c r="A298" s="684"/>
      <c r="B298" s="450"/>
      <c r="C298" s="449"/>
      <c r="D298" s="446"/>
      <c r="E298" s="446"/>
      <c r="F298" s="446"/>
      <c r="G298" s="450"/>
      <c r="H298" s="450"/>
      <c r="I298" s="450"/>
      <c r="J298" s="450"/>
      <c r="K298" s="684"/>
      <c r="L298" s="424"/>
      <c r="M298" s="684"/>
    </row>
    <row r="299" spans="1:13" x14ac:dyDescent="0.25">
      <c r="A299" s="684"/>
      <c r="B299" s="450"/>
      <c r="C299" s="449"/>
      <c r="D299" s="446">
        <v>61.2</v>
      </c>
      <c r="E299" s="446" t="s">
        <v>936</v>
      </c>
      <c r="F299" s="446" t="s">
        <v>944</v>
      </c>
      <c r="G299" s="446" t="s">
        <v>944</v>
      </c>
      <c r="H299" s="446" t="s">
        <v>944</v>
      </c>
      <c r="I299" s="446" t="s">
        <v>944</v>
      </c>
      <c r="J299" s="446" t="s">
        <v>944</v>
      </c>
      <c r="K299" s="684">
        <v>30</v>
      </c>
      <c r="L299" s="424">
        <f>K299*A279</f>
        <v>6</v>
      </c>
      <c r="M299" s="684">
        <f>K299-L299</f>
        <v>24</v>
      </c>
    </row>
    <row r="300" spans="1:13" x14ac:dyDescent="0.25">
      <c r="A300" s="684"/>
      <c r="B300" s="450"/>
      <c r="C300" s="449"/>
      <c r="D300" s="446">
        <v>62.2</v>
      </c>
      <c r="E300" s="446" t="s">
        <v>938</v>
      </c>
      <c r="F300" s="446" t="s">
        <v>944</v>
      </c>
      <c r="G300" s="446" t="s">
        <v>944</v>
      </c>
      <c r="H300" s="453" t="s">
        <v>944</v>
      </c>
      <c r="I300" s="446" t="s">
        <v>944</v>
      </c>
      <c r="J300" s="446" t="s">
        <v>944</v>
      </c>
      <c r="K300" s="684"/>
      <c r="L300" s="424">
        <f>COUNTIF(F299:J304,"Father")</f>
        <v>6</v>
      </c>
      <c r="M300" s="684">
        <f>COUNTIF(F299:J304,"Mother")</f>
        <v>24</v>
      </c>
    </row>
    <row r="301" spans="1:13" x14ac:dyDescent="0.25">
      <c r="A301" s="684"/>
      <c r="B301" s="450"/>
      <c r="C301" s="449"/>
      <c r="D301" s="446">
        <v>63.2</v>
      </c>
      <c r="E301" s="446" t="s">
        <v>939</v>
      </c>
      <c r="F301" s="446" t="s">
        <v>937</v>
      </c>
      <c r="G301" s="446" t="s">
        <v>937</v>
      </c>
      <c r="H301" s="446" t="s">
        <v>937</v>
      </c>
      <c r="I301" s="446" t="s">
        <v>937</v>
      </c>
      <c r="J301" s="446" t="s">
        <v>937</v>
      </c>
      <c r="K301" s="684"/>
      <c r="L301" s="424"/>
      <c r="M301" s="684"/>
    </row>
    <row r="302" spans="1:13" x14ac:dyDescent="0.25">
      <c r="A302" s="684"/>
      <c r="B302" s="450"/>
      <c r="C302" s="449"/>
      <c r="D302" s="446">
        <v>64.2</v>
      </c>
      <c r="E302" s="446" t="s">
        <v>940</v>
      </c>
      <c r="F302" s="446" t="s">
        <v>944</v>
      </c>
      <c r="G302" s="446" t="s">
        <v>944</v>
      </c>
      <c r="H302" s="446" t="s">
        <v>944</v>
      </c>
      <c r="I302" s="446" t="s">
        <v>944</v>
      </c>
      <c r="J302" s="446" t="s">
        <v>944</v>
      </c>
      <c r="K302" s="684"/>
      <c r="L302" s="424"/>
      <c r="M302" s="684"/>
    </row>
    <row r="303" spans="1:13" x14ac:dyDescent="0.25">
      <c r="A303" s="684"/>
      <c r="B303" s="450"/>
      <c r="C303" s="449"/>
      <c r="D303" s="446">
        <v>65.2</v>
      </c>
      <c r="E303" s="446" t="s">
        <v>941</v>
      </c>
      <c r="F303" s="446" t="s">
        <v>944</v>
      </c>
      <c r="G303" s="446" t="s">
        <v>944</v>
      </c>
      <c r="H303" s="453" t="s">
        <v>944</v>
      </c>
      <c r="I303" s="446" t="s">
        <v>944</v>
      </c>
      <c r="J303" s="446" t="s">
        <v>944</v>
      </c>
      <c r="K303" s="684"/>
      <c r="L303" s="424"/>
      <c r="M303" s="684"/>
    </row>
    <row r="304" spans="1:13" x14ac:dyDescent="0.25">
      <c r="A304" s="632"/>
      <c r="B304" s="454"/>
      <c r="C304" s="442"/>
      <c r="D304" s="455">
        <v>66.2</v>
      </c>
      <c r="E304" s="455" t="s">
        <v>942</v>
      </c>
      <c r="F304" s="453" t="s">
        <v>944</v>
      </c>
      <c r="G304" s="453" t="s">
        <v>944</v>
      </c>
      <c r="H304" s="453" t="s">
        <v>944</v>
      </c>
      <c r="I304" s="453" t="s">
        <v>944</v>
      </c>
      <c r="J304" s="446" t="s">
        <v>937</v>
      </c>
      <c r="K304" s="632"/>
      <c r="L304" s="457"/>
      <c r="M304" s="632"/>
    </row>
    <row r="305" spans="1:13" x14ac:dyDescent="0.25">
      <c r="A305" s="684"/>
      <c r="B305" s="450"/>
      <c r="C305" s="449"/>
      <c r="D305" s="446"/>
      <c r="E305" s="446"/>
      <c r="F305" s="854"/>
      <c r="G305" s="849"/>
      <c r="H305" s="849"/>
      <c r="I305" s="849"/>
      <c r="J305" s="849"/>
      <c r="K305" s="684"/>
      <c r="L305" s="424"/>
      <c r="M305" s="684"/>
    </row>
    <row r="306" spans="1:13" x14ac:dyDescent="0.25">
      <c r="A306" s="458">
        <v>0</v>
      </c>
      <c r="B306" s="450" t="s">
        <v>953</v>
      </c>
      <c r="C306" s="716" t="s">
        <v>954</v>
      </c>
      <c r="D306" s="446">
        <v>11</v>
      </c>
      <c r="E306" s="446" t="s">
        <v>936</v>
      </c>
      <c r="F306" s="446" t="s">
        <v>944</v>
      </c>
      <c r="G306" s="446" t="s">
        <v>944</v>
      </c>
      <c r="H306" s="446" t="s">
        <v>944</v>
      </c>
      <c r="I306" s="446" t="s">
        <v>944</v>
      </c>
      <c r="J306" s="446" t="s">
        <v>944</v>
      </c>
      <c r="K306" s="435">
        <v>5</v>
      </c>
      <c r="L306" s="436">
        <f>K306*A306</f>
        <v>0</v>
      </c>
      <c r="M306" s="684">
        <f>K306-L306</f>
        <v>5</v>
      </c>
    </row>
    <row r="307" spans="1:13" x14ac:dyDescent="0.25">
      <c r="A307" s="684"/>
      <c r="B307" s="450"/>
      <c r="C307" s="449"/>
      <c r="D307" s="446"/>
      <c r="E307" s="446"/>
      <c r="F307" s="440"/>
      <c r="G307" s="440"/>
      <c r="H307" s="440"/>
      <c r="I307" s="440"/>
      <c r="J307" s="440"/>
      <c r="K307" s="435"/>
      <c r="L307" s="436"/>
      <c r="M307" s="684"/>
    </row>
    <row r="308" spans="1:13" x14ac:dyDescent="0.25">
      <c r="A308" s="684"/>
      <c r="B308" s="450"/>
      <c r="C308" s="449"/>
      <c r="D308" s="446">
        <v>21</v>
      </c>
      <c r="E308" s="446" t="s">
        <v>936</v>
      </c>
      <c r="F308" s="446" t="s">
        <v>944</v>
      </c>
      <c r="G308" s="446" t="s">
        <v>944</v>
      </c>
      <c r="H308" s="446" t="s">
        <v>944</v>
      </c>
      <c r="I308" s="446" t="s">
        <v>944</v>
      </c>
      <c r="J308" s="446" t="s">
        <v>944</v>
      </c>
      <c r="K308" s="435">
        <v>10</v>
      </c>
      <c r="L308" s="436">
        <f>K308*A306</f>
        <v>0</v>
      </c>
      <c r="M308" s="684">
        <f>K308-L308</f>
        <v>10</v>
      </c>
    </row>
    <row r="309" spans="1:13" x14ac:dyDescent="0.25">
      <c r="A309" s="684"/>
      <c r="B309" s="450"/>
      <c r="C309" s="449"/>
      <c r="D309" s="446">
        <v>22</v>
      </c>
      <c r="E309" s="446" t="s">
        <v>938</v>
      </c>
      <c r="F309" s="446" t="s">
        <v>944</v>
      </c>
      <c r="G309" s="446" t="s">
        <v>944</v>
      </c>
      <c r="H309" s="446" t="s">
        <v>944</v>
      </c>
      <c r="I309" s="446" t="s">
        <v>944</v>
      </c>
      <c r="J309" s="446" t="s">
        <v>944</v>
      </c>
      <c r="K309" s="435"/>
      <c r="L309" s="436">
        <f>COUNTIF(F308:J309,"Father")</f>
        <v>0</v>
      </c>
      <c r="M309" s="684">
        <f>COUNTIF(F308:J309,"Mother")</f>
        <v>10</v>
      </c>
    </row>
    <row r="310" spans="1:13" x14ac:dyDescent="0.25">
      <c r="A310" s="684"/>
      <c r="B310" s="450"/>
      <c r="C310" s="449"/>
      <c r="D310" s="446"/>
      <c r="E310" s="446"/>
      <c r="F310" s="440"/>
      <c r="G310" s="440"/>
      <c r="H310" s="440"/>
      <c r="I310" s="440"/>
      <c r="J310" s="440"/>
      <c r="K310" s="435"/>
      <c r="L310" s="436"/>
      <c r="M310" s="684"/>
    </row>
    <row r="311" spans="1:13" x14ac:dyDescent="0.25">
      <c r="A311" s="684"/>
      <c r="B311" s="450"/>
      <c r="C311" s="449"/>
      <c r="D311" s="446">
        <v>31</v>
      </c>
      <c r="E311" s="446" t="s">
        <v>936</v>
      </c>
      <c r="F311" s="446" t="s">
        <v>944</v>
      </c>
      <c r="G311" s="446" t="s">
        <v>944</v>
      </c>
      <c r="H311" s="446" t="s">
        <v>944</v>
      </c>
      <c r="I311" s="446" t="s">
        <v>944</v>
      </c>
      <c r="J311" s="446" t="s">
        <v>944</v>
      </c>
      <c r="K311" s="435">
        <v>15</v>
      </c>
      <c r="L311" s="436">
        <f>K311*A306</f>
        <v>0</v>
      </c>
      <c r="M311" s="684">
        <f>K311-L311</f>
        <v>15</v>
      </c>
    </row>
    <row r="312" spans="1:13" x14ac:dyDescent="0.25">
      <c r="A312" s="684"/>
      <c r="B312" s="450"/>
      <c r="C312" s="449"/>
      <c r="D312" s="446">
        <v>32</v>
      </c>
      <c r="E312" s="446" t="s">
        <v>938</v>
      </c>
      <c r="F312" s="446" t="s">
        <v>944</v>
      </c>
      <c r="G312" s="446" t="s">
        <v>944</v>
      </c>
      <c r="H312" s="446" t="s">
        <v>944</v>
      </c>
      <c r="I312" s="446" t="s">
        <v>944</v>
      </c>
      <c r="J312" s="446" t="s">
        <v>944</v>
      </c>
      <c r="K312" s="435"/>
      <c r="L312" s="436">
        <f>COUNTIF(F311:J313,"Father")</f>
        <v>0</v>
      </c>
      <c r="M312" s="684">
        <f>COUNTIF(F311:J313,"Mother")</f>
        <v>15</v>
      </c>
    </row>
    <row r="313" spans="1:13" x14ac:dyDescent="0.25">
      <c r="A313" s="684"/>
      <c r="B313" s="450"/>
      <c r="C313" s="449"/>
      <c r="D313" s="446">
        <v>33</v>
      </c>
      <c r="E313" s="446" t="s">
        <v>939</v>
      </c>
      <c r="F313" s="446" t="s">
        <v>944</v>
      </c>
      <c r="G313" s="446" t="s">
        <v>944</v>
      </c>
      <c r="H313" s="446" t="s">
        <v>944</v>
      </c>
      <c r="I313" s="446" t="s">
        <v>944</v>
      </c>
      <c r="J313" s="446" t="s">
        <v>944</v>
      </c>
      <c r="K313" s="435"/>
      <c r="L313" s="436"/>
      <c r="M313" s="684"/>
    </row>
    <row r="314" spans="1:13" x14ac:dyDescent="0.25">
      <c r="A314" s="684"/>
      <c r="B314" s="450"/>
      <c r="C314" s="449"/>
      <c r="D314" s="446"/>
      <c r="E314" s="446"/>
      <c r="F314" s="440"/>
      <c r="G314" s="440"/>
      <c r="H314" s="440"/>
      <c r="I314" s="440"/>
      <c r="J314" s="440"/>
      <c r="K314" s="435"/>
      <c r="L314" s="436"/>
      <c r="M314" s="684"/>
    </row>
    <row r="315" spans="1:13" x14ac:dyDescent="0.25">
      <c r="A315" s="684"/>
      <c r="B315" s="450"/>
      <c r="C315" s="449"/>
      <c r="D315" s="446">
        <v>41</v>
      </c>
      <c r="E315" s="446" t="s">
        <v>936</v>
      </c>
      <c r="F315" s="446" t="s">
        <v>944</v>
      </c>
      <c r="G315" s="446" t="s">
        <v>944</v>
      </c>
      <c r="H315" s="446" t="s">
        <v>944</v>
      </c>
      <c r="I315" s="446" t="s">
        <v>944</v>
      </c>
      <c r="J315" s="446" t="s">
        <v>944</v>
      </c>
      <c r="K315" s="435">
        <v>20</v>
      </c>
      <c r="L315" s="436">
        <f>K315*A306</f>
        <v>0</v>
      </c>
      <c r="M315" s="684">
        <f>K315-L315</f>
        <v>20</v>
      </c>
    </row>
    <row r="316" spans="1:13" x14ac:dyDescent="0.25">
      <c r="A316" s="684"/>
      <c r="B316" s="450"/>
      <c r="C316" s="449"/>
      <c r="D316" s="446">
        <v>42</v>
      </c>
      <c r="E316" s="446" t="s">
        <v>938</v>
      </c>
      <c r="F316" s="446" t="s">
        <v>944</v>
      </c>
      <c r="G316" s="446" t="s">
        <v>944</v>
      </c>
      <c r="H316" s="446" t="s">
        <v>944</v>
      </c>
      <c r="I316" s="446" t="s">
        <v>944</v>
      </c>
      <c r="J316" s="446" t="s">
        <v>944</v>
      </c>
      <c r="K316" s="435"/>
      <c r="L316" s="436">
        <f>COUNTIF(F315:J318,"Father")</f>
        <v>0</v>
      </c>
      <c r="M316" s="684">
        <f>COUNTIF(F315:J318,"Mother")</f>
        <v>20</v>
      </c>
    </row>
    <row r="317" spans="1:13" x14ac:dyDescent="0.25">
      <c r="A317" s="684"/>
      <c r="B317" s="450"/>
      <c r="C317" s="449"/>
      <c r="D317" s="446">
        <v>43</v>
      </c>
      <c r="E317" s="446" t="s">
        <v>939</v>
      </c>
      <c r="F317" s="446" t="s">
        <v>944</v>
      </c>
      <c r="G317" s="446" t="s">
        <v>944</v>
      </c>
      <c r="H317" s="446" t="s">
        <v>944</v>
      </c>
      <c r="I317" s="446" t="s">
        <v>944</v>
      </c>
      <c r="J317" s="446" t="s">
        <v>944</v>
      </c>
      <c r="K317" s="435"/>
      <c r="L317" s="436"/>
      <c r="M317" s="684"/>
    </row>
    <row r="318" spans="1:13" x14ac:dyDescent="0.25">
      <c r="A318" s="684"/>
      <c r="B318" s="450"/>
      <c r="C318" s="449"/>
      <c r="D318" s="446">
        <v>44</v>
      </c>
      <c r="E318" s="446" t="s">
        <v>940</v>
      </c>
      <c r="F318" s="446" t="s">
        <v>944</v>
      </c>
      <c r="G318" s="446" t="s">
        <v>944</v>
      </c>
      <c r="H318" s="446" t="s">
        <v>944</v>
      </c>
      <c r="I318" s="446" t="s">
        <v>944</v>
      </c>
      <c r="J318" s="446" t="s">
        <v>944</v>
      </c>
      <c r="K318" s="435"/>
      <c r="L318" s="436"/>
      <c r="M318" s="684"/>
    </row>
    <row r="319" spans="1:13" x14ac:dyDescent="0.25">
      <c r="A319" s="684"/>
      <c r="B319" s="450"/>
      <c r="C319" s="449"/>
      <c r="D319" s="446"/>
      <c r="E319" s="446"/>
      <c r="F319" s="440"/>
      <c r="G319" s="440"/>
      <c r="H319" s="440"/>
      <c r="I319" s="440"/>
      <c r="J319" s="440"/>
      <c r="K319" s="435"/>
      <c r="L319" s="436"/>
      <c r="M319" s="684"/>
    </row>
    <row r="320" spans="1:13" x14ac:dyDescent="0.25">
      <c r="A320" s="684"/>
      <c r="B320" s="450"/>
      <c r="C320" s="449"/>
      <c r="D320" s="446">
        <v>51</v>
      </c>
      <c r="E320" s="446" t="s">
        <v>936</v>
      </c>
      <c r="F320" s="446" t="s">
        <v>944</v>
      </c>
      <c r="G320" s="446" t="s">
        <v>944</v>
      </c>
      <c r="H320" s="446" t="s">
        <v>944</v>
      </c>
      <c r="I320" s="446" t="s">
        <v>944</v>
      </c>
      <c r="J320" s="446" t="s">
        <v>944</v>
      </c>
      <c r="K320" s="435">
        <v>25</v>
      </c>
      <c r="L320" s="436">
        <f>K320*A306</f>
        <v>0</v>
      </c>
      <c r="M320" s="684">
        <f>K320-L320</f>
        <v>25</v>
      </c>
    </row>
    <row r="321" spans="1:13" x14ac:dyDescent="0.25">
      <c r="A321" s="684"/>
      <c r="B321" s="450"/>
      <c r="C321" s="449"/>
      <c r="D321" s="446">
        <v>52</v>
      </c>
      <c r="E321" s="446" t="s">
        <v>938</v>
      </c>
      <c r="F321" s="446" t="s">
        <v>944</v>
      </c>
      <c r="G321" s="446" t="s">
        <v>944</v>
      </c>
      <c r="H321" s="446" t="s">
        <v>944</v>
      </c>
      <c r="I321" s="446" t="s">
        <v>944</v>
      </c>
      <c r="J321" s="446" t="s">
        <v>944</v>
      </c>
      <c r="K321" s="435"/>
      <c r="L321" s="436">
        <f>COUNTIF(F320:J324,"Father")</f>
        <v>0</v>
      </c>
      <c r="M321" s="684">
        <f>COUNTIF(F320:J324,"Mother")</f>
        <v>25</v>
      </c>
    </row>
    <row r="322" spans="1:13" x14ac:dyDescent="0.25">
      <c r="A322" s="684"/>
      <c r="B322" s="450"/>
      <c r="C322" s="449"/>
      <c r="D322" s="446">
        <v>53</v>
      </c>
      <c r="E322" s="446" t="s">
        <v>939</v>
      </c>
      <c r="F322" s="446" t="s">
        <v>944</v>
      </c>
      <c r="G322" s="446" t="s">
        <v>944</v>
      </c>
      <c r="H322" s="446" t="s">
        <v>944</v>
      </c>
      <c r="I322" s="446" t="s">
        <v>944</v>
      </c>
      <c r="J322" s="446" t="s">
        <v>944</v>
      </c>
      <c r="K322" s="435"/>
      <c r="L322" s="436"/>
      <c r="M322" s="684"/>
    </row>
    <row r="323" spans="1:13" x14ac:dyDescent="0.25">
      <c r="A323" s="684"/>
      <c r="B323" s="450"/>
      <c r="C323" s="449"/>
      <c r="D323" s="446">
        <v>54</v>
      </c>
      <c r="E323" s="446" t="s">
        <v>940</v>
      </c>
      <c r="F323" s="446" t="s">
        <v>944</v>
      </c>
      <c r="G323" s="446" t="s">
        <v>944</v>
      </c>
      <c r="H323" s="446" t="s">
        <v>944</v>
      </c>
      <c r="I323" s="446" t="s">
        <v>944</v>
      </c>
      <c r="J323" s="446" t="s">
        <v>944</v>
      </c>
      <c r="K323" s="435"/>
      <c r="L323" s="436"/>
      <c r="M323" s="684"/>
    </row>
    <row r="324" spans="1:13" x14ac:dyDescent="0.25">
      <c r="A324" s="684"/>
      <c r="B324" s="450"/>
      <c r="C324" s="449"/>
      <c r="D324" s="446">
        <v>55</v>
      </c>
      <c r="E324" s="446" t="s">
        <v>941</v>
      </c>
      <c r="F324" s="446" t="s">
        <v>944</v>
      </c>
      <c r="G324" s="446" t="s">
        <v>944</v>
      </c>
      <c r="H324" s="446" t="s">
        <v>944</v>
      </c>
      <c r="I324" s="446" t="s">
        <v>944</v>
      </c>
      <c r="J324" s="446" t="s">
        <v>944</v>
      </c>
      <c r="K324" s="435"/>
      <c r="L324" s="436"/>
      <c r="M324" s="684"/>
    </row>
    <row r="325" spans="1:13" x14ac:dyDescent="0.25">
      <c r="A325" s="684"/>
      <c r="B325" s="450"/>
      <c r="C325" s="449"/>
      <c r="D325" s="446"/>
      <c r="E325" s="446"/>
      <c r="F325" s="440"/>
      <c r="G325" s="440"/>
      <c r="H325" s="440"/>
      <c r="I325" s="440"/>
      <c r="J325" s="440"/>
      <c r="K325" s="435"/>
      <c r="L325" s="436"/>
      <c r="M325" s="684"/>
    </row>
    <row r="326" spans="1:13" x14ac:dyDescent="0.25">
      <c r="A326" s="684"/>
      <c r="B326" s="450"/>
      <c r="C326" s="449"/>
      <c r="D326" s="446">
        <v>61</v>
      </c>
      <c r="E326" s="446" t="s">
        <v>936</v>
      </c>
      <c r="F326" s="446" t="s">
        <v>944</v>
      </c>
      <c r="G326" s="446" t="s">
        <v>944</v>
      </c>
      <c r="H326" s="446" t="s">
        <v>944</v>
      </c>
      <c r="I326" s="446" t="s">
        <v>944</v>
      </c>
      <c r="J326" s="446" t="s">
        <v>944</v>
      </c>
      <c r="K326" s="435">
        <v>30</v>
      </c>
      <c r="L326" s="436">
        <f>K326*A306</f>
        <v>0</v>
      </c>
      <c r="M326" s="684">
        <f>K326-L326</f>
        <v>30</v>
      </c>
    </row>
    <row r="327" spans="1:13" x14ac:dyDescent="0.25">
      <c r="A327" s="684"/>
      <c r="B327" s="450"/>
      <c r="C327" s="449"/>
      <c r="D327" s="446">
        <v>62</v>
      </c>
      <c r="E327" s="446" t="s">
        <v>938</v>
      </c>
      <c r="F327" s="446" t="s">
        <v>944</v>
      </c>
      <c r="G327" s="446" t="s">
        <v>944</v>
      </c>
      <c r="H327" s="446" t="s">
        <v>944</v>
      </c>
      <c r="I327" s="446" t="s">
        <v>944</v>
      </c>
      <c r="J327" s="446" t="s">
        <v>944</v>
      </c>
      <c r="K327" s="435"/>
      <c r="L327" s="436">
        <f>COUNTIF(F326:J331,"Father")</f>
        <v>0</v>
      </c>
      <c r="M327" s="684">
        <f>COUNTIF(F326:J331,"Mother")</f>
        <v>30</v>
      </c>
    </row>
    <row r="328" spans="1:13" x14ac:dyDescent="0.25">
      <c r="A328" s="684"/>
      <c r="B328" s="450"/>
      <c r="C328" s="449"/>
      <c r="D328" s="446">
        <v>63</v>
      </c>
      <c r="E328" s="446" t="s">
        <v>939</v>
      </c>
      <c r="F328" s="446" t="s">
        <v>944</v>
      </c>
      <c r="G328" s="446" t="s">
        <v>944</v>
      </c>
      <c r="H328" s="446" t="s">
        <v>944</v>
      </c>
      <c r="I328" s="446" t="s">
        <v>944</v>
      </c>
      <c r="J328" s="446" t="s">
        <v>944</v>
      </c>
      <c r="K328" s="435"/>
      <c r="L328" s="436"/>
      <c r="M328" s="684"/>
    </row>
    <row r="329" spans="1:13" x14ac:dyDescent="0.25">
      <c r="A329" s="684"/>
      <c r="B329" s="450"/>
      <c r="C329" s="449"/>
      <c r="D329" s="446">
        <v>64</v>
      </c>
      <c r="E329" s="446" t="s">
        <v>940</v>
      </c>
      <c r="F329" s="446" t="s">
        <v>944</v>
      </c>
      <c r="G329" s="446" t="s">
        <v>944</v>
      </c>
      <c r="H329" s="446" t="s">
        <v>944</v>
      </c>
      <c r="I329" s="446" t="s">
        <v>944</v>
      </c>
      <c r="J329" s="446" t="s">
        <v>944</v>
      </c>
      <c r="K329" s="435"/>
      <c r="L329" s="436"/>
      <c r="M329" s="684"/>
    </row>
    <row r="330" spans="1:13" x14ac:dyDescent="0.25">
      <c r="A330" s="684"/>
      <c r="B330" s="450"/>
      <c r="C330" s="449"/>
      <c r="D330" s="446">
        <v>65</v>
      </c>
      <c r="E330" s="446" t="s">
        <v>941</v>
      </c>
      <c r="F330" s="446" t="s">
        <v>944</v>
      </c>
      <c r="G330" s="446" t="s">
        <v>944</v>
      </c>
      <c r="H330" s="446" t="s">
        <v>944</v>
      </c>
      <c r="I330" s="446" t="s">
        <v>944</v>
      </c>
      <c r="J330" s="446" t="s">
        <v>944</v>
      </c>
      <c r="K330" s="435"/>
      <c r="L330" s="436"/>
      <c r="M330" s="684"/>
    </row>
    <row r="331" spans="1:13" x14ac:dyDescent="0.25">
      <c r="A331" s="632"/>
      <c r="B331" s="454"/>
      <c r="C331" s="442"/>
      <c r="D331" s="455">
        <v>66</v>
      </c>
      <c r="E331" s="455" t="s">
        <v>942</v>
      </c>
      <c r="F331" s="455" t="s">
        <v>944</v>
      </c>
      <c r="G331" s="455" t="s">
        <v>944</v>
      </c>
      <c r="H331" s="455" t="s">
        <v>944</v>
      </c>
      <c r="I331" s="455" t="s">
        <v>944</v>
      </c>
      <c r="J331" s="455" t="s">
        <v>944</v>
      </c>
      <c r="K331" s="733"/>
      <c r="L331" s="445"/>
      <c r="M331" s="632"/>
    </row>
    <row r="332" spans="1:13" x14ac:dyDescent="0.25">
      <c r="A332" s="62"/>
      <c r="B332" s="62"/>
      <c r="C332" s="62"/>
      <c r="D332" s="62"/>
      <c r="E332" s="61"/>
      <c r="F332" s="62"/>
      <c r="G332" s="61"/>
      <c r="H332" s="61"/>
      <c r="I332" s="62"/>
      <c r="J332" s="62"/>
      <c r="K332" s="62"/>
      <c r="L332" s="62"/>
      <c r="M332" s="62"/>
    </row>
    <row r="333" spans="1:13" x14ac:dyDescent="0.25">
      <c r="A333" s="62"/>
      <c r="B333" s="62"/>
      <c r="C333" s="62"/>
      <c r="D333" s="62"/>
      <c r="E333" s="61"/>
      <c r="F333" s="62"/>
      <c r="G333" s="61"/>
      <c r="H333" s="61"/>
      <c r="I333" s="62"/>
      <c r="J333" s="62"/>
      <c r="K333" s="62"/>
      <c r="L333" s="62"/>
      <c r="M333" s="62"/>
    </row>
    <row r="334" spans="1:13" x14ac:dyDescent="0.25">
      <c r="A334" s="62"/>
      <c r="B334" s="62"/>
      <c r="C334" s="62"/>
      <c r="D334" s="62"/>
      <c r="E334" s="61"/>
      <c r="F334" s="62"/>
      <c r="G334" s="61"/>
      <c r="H334" s="61"/>
      <c r="I334" s="62"/>
      <c r="J334" s="62"/>
      <c r="K334" s="62"/>
      <c r="L334" s="62"/>
      <c r="M334" s="62"/>
    </row>
    <row r="335" spans="1:13" x14ac:dyDescent="0.25">
      <c r="A335" s="62"/>
      <c r="B335" s="62"/>
      <c r="C335" s="62"/>
      <c r="D335" s="62"/>
      <c r="E335" s="61"/>
      <c r="F335" s="62"/>
      <c r="G335" s="61"/>
      <c r="H335" s="61"/>
      <c r="I335" s="62"/>
      <c r="J335" s="62"/>
      <c r="K335" s="62"/>
      <c r="L335" s="62"/>
      <c r="M335" s="62"/>
    </row>
    <row r="336" spans="1:13" x14ac:dyDescent="0.25">
      <c r="A336" s="62"/>
      <c r="B336" s="62"/>
      <c r="C336" s="62"/>
      <c r="D336" s="62"/>
      <c r="E336" s="61"/>
      <c r="F336" s="62"/>
      <c r="G336" s="61"/>
      <c r="H336" s="61"/>
      <c r="I336" s="62"/>
      <c r="J336" s="62"/>
      <c r="K336" s="62"/>
      <c r="L336" s="62"/>
      <c r="M336" s="62"/>
    </row>
    <row r="337" spans="1:13" x14ac:dyDescent="0.25">
      <c r="A337" s="62"/>
      <c r="B337" s="62"/>
      <c r="C337" s="62"/>
      <c r="D337" s="62"/>
      <c r="E337" s="61"/>
      <c r="F337" s="62"/>
      <c r="G337" s="61"/>
      <c r="H337" s="61"/>
      <c r="I337" s="62"/>
      <c r="J337" s="62"/>
      <c r="K337" s="62"/>
      <c r="L337" s="62"/>
      <c r="M337" s="62"/>
    </row>
    <row r="338" spans="1:13" x14ac:dyDescent="0.25">
      <c r="A338" s="62"/>
      <c r="B338" s="62"/>
      <c r="C338" s="62"/>
      <c r="D338" s="62"/>
      <c r="E338" s="61"/>
      <c r="F338" s="62"/>
      <c r="G338" s="61"/>
      <c r="H338" s="61"/>
      <c r="I338" s="62"/>
      <c r="J338" s="62"/>
      <c r="K338" s="62"/>
      <c r="L338" s="62"/>
      <c r="M338" s="62"/>
    </row>
    <row r="339" spans="1:13" x14ac:dyDescent="0.25">
      <c r="A339" s="62"/>
      <c r="B339" s="62"/>
      <c r="C339" s="62"/>
      <c r="D339" s="62"/>
      <c r="E339" s="61"/>
      <c r="F339" s="62"/>
      <c r="G339" s="61"/>
      <c r="H339" s="61"/>
      <c r="I339" s="62"/>
      <c r="J339" s="62"/>
      <c r="K339" s="62"/>
      <c r="L339" s="62"/>
      <c r="M339" s="62"/>
    </row>
    <row r="340" spans="1:13" x14ac:dyDescent="0.25">
      <c r="A340" s="62"/>
      <c r="B340" s="62"/>
      <c r="C340" s="62"/>
      <c r="D340" s="62"/>
      <c r="E340" s="61"/>
      <c r="F340" s="62"/>
      <c r="G340" s="61"/>
      <c r="H340" s="61"/>
      <c r="I340" s="62"/>
      <c r="J340" s="62"/>
      <c r="K340" s="62"/>
      <c r="L340" s="62"/>
      <c r="M340" s="62"/>
    </row>
    <row r="341" spans="1:13" x14ac:dyDescent="0.25">
      <c r="A341" s="62"/>
      <c r="B341" s="62"/>
      <c r="C341" s="62"/>
      <c r="D341" s="62"/>
      <c r="E341" s="61"/>
      <c r="F341" s="62"/>
      <c r="G341" s="61"/>
      <c r="H341" s="61"/>
      <c r="I341" s="62"/>
      <c r="J341" s="62"/>
      <c r="K341" s="62"/>
      <c r="L341" s="62"/>
      <c r="M341" s="62"/>
    </row>
    <row r="342" spans="1:13" x14ac:dyDescent="0.25">
      <c r="A342" s="62"/>
      <c r="B342" s="62"/>
      <c r="C342" s="62"/>
      <c r="D342" s="62"/>
      <c r="E342" s="61"/>
      <c r="F342" s="62"/>
      <c r="G342" s="61"/>
      <c r="H342" s="61"/>
      <c r="I342" s="62"/>
      <c r="J342" s="62"/>
      <c r="K342" s="62"/>
      <c r="L342" s="62"/>
      <c r="M342" s="62"/>
    </row>
    <row r="343" spans="1:13" x14ac:dyDescent="0.25">
      <c r="A343" s="62"/>
      <c r="B343" s="62"/>
      <c r="C343" s="62"/>
      <c r="D343" s="62"/>
      <c r="E343" s="61"/>
      <c r="F343" s="62"/>
      <c r="G343" s="61"/>
      <c r="H343" s="61"/>
      <c r="I343" s="62"/>
      <c r="J343" s="62"/>
      <c r="K343" s="62"/>
      <c r="L343" s="62"/>
      <c r="M343" s="62"/>
    </row>
    <row r="344" spans="1:13" x14ac:dyDescent="0.25">
      <c r="A344" s="62"/>
      <c r="B344" s="62"/>
      <c r="C344" s="62"/>
      <c r="D344" s="62"/>
      <c r="E344" s="61"/>
      <c r="F344" s="62"/>
      <c r="G344" s="61"/>
      <c r="H344" s="61"/>
      <c r="I344" s="62"/>
      <c r="J344" s="62"/>
      <c r="K344" s="62"/>
      <c r="L344" s="62"/>
      <c r="M344" s="62"/>
    </row>
    <row r="345" spans="1:13" x14ac:dyDescent="0.25">
      <c r="A345" s="62"/>
      <c r="B345" s="62"/>
      <c r="C345" s="62"/>
      <c r="D345" s="62"/>
      <c r="E345" s="61"/>
      <c r="F345" s="62"/>
      <c r="G345" s="61"/>
      <c r="H345" s="61"/>
      <c r="I345" s="62"/>
      <c r="J345" s="62"/>
      <c r="K345" s="62"/>
      <c r="L345" s="62"/>
      <c r="M345" s="62"/>
    </row>
    <row r="346" spans="1:13" x14ac:dyDescent="0.25">
      <c r="A346" s="62"/>
      <c r="B346" s="62"/>
      <c r="C346" s="62"/>
      <c r="D346" s="62"/>
      <c r="E346" s="61"/>
      <c r="F346" s="62"/>
      <c r="G346" s="61"/>
      <c r="H346" s="61"/>
      <c r="I346" s="62"/>
      <c r="J346" s="62"/>
      <c r="K346" s="62"/>
      <c r="L346" s="62"/>
      <c r="M346" s="62"/>
    </row>
    <row r="347" spans="1:13" x14ac:dyDescent="0.25">
      <c r="A347" s="62"/>
      <c r="B347" s="62"/>
      <c r="C347" s="62"/>
      <c r="D347" s="62"/>
      <c r="E347" s="61"/>
      <c r="F347" s="62"/>
      <c r="G347" s="61"/>
      <c r="H347" s="61"/>
      <c r="I347" s="62"/>
      <c r="J347" s="62"/>
      <c r="K347" s="62"/>
      <c r="L347" s="62"/>
      <c r="M347" s="62"/>
    </row>
    <row r="348" spans="1:13" x14ac:dyDescent="0.25">
      <c r="A348" s="62"/>
      <c r="B348" s="62"/>
      <c r="C348" s="62"/>
      <c r="D348" s="62"/>
      <c r="E348" s="61"/>
      <c r="F348" s="62"/>
      <c r="G348" s="61"/>
      <c r="H348" s="61"/>
      <c r="I348" s="62"/>
      <c r="J348" s="62"/>
      <c r="K348" s="62"/>
      <c r="L348" s="62"/>
      <c r="M348" s="62"/>
    </row>
    <row r="349" spans="1:13" x14ac:dyDescent="0.25">
      <c r="A349" s="62"/>
      <c r="B349" s="62"/>
      <c r="C349" s="62"/>
      <c r="D349" s="62"/>
      <c r="E349" s="61"/>
      <c r="F349" s="62"/>
      <c r="G349" s="61"/>
      <c r="H349" s="61"/>
      <c r="I349" s="62"/>
      <c r="J349" s="62"/>
      <c r="K349" s="62"/>
      <c r="L349" s="62"/>
      <c r="M349" s="62"/>
    </row>
    <row r="350" spans="1:13" x14ac:dyDescent="0.25">
      <c r="A350" s="62"/>
      <c r="B350" s="62"/>
      <c r="C350" s="62"/>
      <c r="D350" s="62"/>
      <c r="E350" s="61"/>
      <c r="F350" s="62"/>
      <c r="G350" s="61"/>
      <c r="H350" s="61"/>
      <c r="I350" s="62"/>
      <c r="J350" s="62"/>
      <c r="K350" s="62"/>
      <c r="L350" s="62"/>
      <c r="M350" s="62"/>
    </row>
    <row r="351" spans="1:13" x14ac:dyDescent="0.25">
      <c r="A351" s="62"/>
      <c r="B351" s="62"/>
      <c r="C351" s="62"/>
      <c r="D351" s="62"/>
      <c r="E351" s="61"/>
      <c r="F351" s="62"/>
      <c r="G351" s="61"/>
      <c r="H351" s="61"/>
      <c r="I351" s="62"/>
      <c r="J351" s="62"/>
      <c r="K351" s="62"/>
      <c r="L351" s="62"/>
      <c r="M351" s="62"/>
    </row>
    <row r="352" spans="1:13" x14ac:dyDescent="0.25">
      <c r="A352" s="62"/>
      <c r="B352" s="62"/>
      <c r="C352" s="62"/>
      <c r="D352" s="62"/>
      <c r="E352" s="61"/>
      <c r="F352" s="62"/>
      <c r="G352" s="61"/>
      <c r="H352" s="61"/>
      <c r="I352" s="62"/>
      <c r="J352" s="62"/>
      <c r="K352" s="62"/>
      <c r="L352" s="62"/>
      <c r="M352" s="62"/>
    </row>
    <row r="353" spans="1:13" x14ac:dyDescent="0.25">
      <c r="A353" s="62"/>
      <c r="B353" s="62"/>
      <c r="C353" s="62"/>
      <c r="D353" s="62"/>
      <c r="E353" s="61"/>
      <c r="F353" s="62"/>
      <c r="G353" s="61"/>
      <c r="H353" s="61"/>
      <c r="I353" s="62"/>
      <c r="J353" s="62"/>
      <c r="K353" s="62"/>
      <c r="L353" s="62"/>
      <c r="M353" s="62"/>
    </row>
    <row r="354" spans="1:13" x14ac:dyDescent="0.25">
      <c r="A354" s="62"/>
      <c r="B354" s="62"/>
      <c r="C354" s="62"/>
      <c r="D354" s="62"/>
      <c r="E354" s="61"/>
      <c r="F354" s="62"/>
      <c r="G354" s="61"/>
      <c r="H354" s="61"/>
      <c r="I354" s="62"/>
      <c r="J354" s="62"/>
      <c r="K354" s="62"/>
      <c r="L354" s="62"/>
      <c r="M354" s="62"/>
    </row>
    <row r="355" spans="1:13" x14ac:dyDescent="0.25">
      <c r="A355" s="62"/>
      <c r="B355" s="62"/>
      <c r="C355" s="62"/>
      <c r="D355" s="62"/>
      <c r="E355" s="61"/>
      <c r="F355" s="62"/>
      <c r="G355" s="61"/>
      <c r="H355" s="61"/>
      <c r="I355" s="62"/>
      <c r="J355" s="62"/>
      <c r="K355" s="62"/>
      <c r="L355" s="62"/>
      <c r="M355" s="62"/>
    </row>
  </sheetData>
  <sheetProtection algorithmName="SHA-512" hashValue="gHg/IdhATICaqnONm06z5/g0dl0IO/96jGZ13Dr+l+N0k47yR1f9vAr5fLjdJb5KTRBzsViP5KJEzBxGXGyGzQ==" saltValue="8tVMgWcCx3+JOuqvm7/iNQ==" spinCount="100000" sheet="1" objects="1" scenarios="1"/>
  <mergeCells count="34">
    <mergeCell ref="A16:C17"/>
    <mergeCell ref="D16:D17"/>
    <mergeCell ref="F25:J25"/>
    <mergeCell ref="A3:C4"/>
    <mergeCell ref="A5:C6"/>
    <mergeCell ref="A7:C8"/>
    <mergeCell ref="A9:C10"/>
    <mergeCell ref="F16:J16"/>
    <mergeCell ref="A21:C21"/>
    <mergeCell ref="E16:E17"/>
    <mergeCell ref="E15:F15"/>
    <mergeCell ref="A19:C19"/>
    <mergeCell ref="A20:C20"/>
    <mergeCell ref="A18:C18"/>
    <mergeCell ref="A24:C24"/>
    <mergeCell ref="B1:I1"/>
    <mergeCell ref="A2:C2"/>
    <mergeCell ref="D13:D14"/>
    <mergeCell ref="A11:C12"/>
    <mergeCell ref="A13:C14"/>
    <mergeCell ref="D3:D4"/>
    <mergeCell ref="D5:D6"/>
    <mergeCell ref="D9:D10"/>
    <mergeCell ref="D11:D12"/>
    <mergeCell ref="D7:D8"/>
    <mergeCell ref="A32:C32"/>
    <mergeCell ref="A22:C22"/>
    <mergeCell ref="A23:C23"/>
    <mergeCell ref="A27:C27"/>
    <mergeCell ref="A28:C28"/>
    <mergeCell ref="A26:C26"/>
    <mergeCell ref="A29:C29"/>
    <mergeCell ref="A30:C30"/>
    <mergeCell ref="A31:C31"/>
  </mergeCells>
  <phoneticPr fontId="0" type="noConversion"/>
  <conditionalFormatting sqref="D11">
    <cfRule type="expression" dxfId="139" priority="1" stopIfTrue="1">
      <formula>ISNUMBER(D2)</formula>
    </cfRule>
  </conditionalFormatting>
  <conditionalFormatting sqref="D9">
    <cfRule type="expression" dxfId="138" priority="2" stopIfTrue="1">
      <formula>NOT(ISNUMBER(D2))</formula>
    </cfRule>
  </conditionalFormatting>
  <conditionalFormatting sqref="D13">
    <cfRule type="expression" dxfId="137" priority="3" stopIfTrue="1">
      <formula>ISNUMBER(D2)</formula>
    </cfRule>
    <cfRule type="expression" dxfId="136" priority="4" stopIfTrue="1">
      <formula>NOT(ISNUMBER(D2))</formula>
    </cfRule>
  </conditionalFormatting>
  <conditionalFormatting sqref="D26">
    <cfRule type="expression" dxfId="135" priority="11" stopIfTrue="1">
      <formula>ISNUMBER(G2)</formula>
    </cfRule>
  </conditionalFormatting>
  <conditionalFormatting sqref="D3:D4">
    <cfRule type="expression" dxfId="134" priority="12" stopIfTrue="1">
      <formula>NOT(ISBLANK(D2))</formula>
    </cfRule>
  </conditionalFormatting>
  <conditionalFormatting sqref="A26:C26">
    <cfRule type="expression" dxfId="133" priority="13" stopIfTrue="1">
      <formula>D2&gt;1</formula>
    </cfRule>
  </conditionalFormatting>
  <conditionalFormatting sqref="A27:C27">
    <cfRule type="expression" dxfId="132" priority="14" stopIfTrue="1">
      <formula>AND(D2&gt;1,ISNUMBER(E27))</formula>
    </cfRule>
  </conditionalFormatting>
  <conditionalFormatting sqref="A28:C28">
    <cfRule type="expression" dxfId="131" priority="15" stopIfTrue="1">
      <formula>AND(D2&gt;1,ISNUMBER(E28))</formula>
    </cfRule>
  </conditionalFormatting>
  <conditionalFormatting sqref="A29:C29">
    <cfRule type="expression" dxfId="130" priority="16" stopIfTrue="1">
      <formula>AND(D2&gt;1,ISNUMBER(E29))</formula>
    </cfRule>
  </conditionalFormatting>
  <conditionalFormatting sqref="A30:C30">
    <cfRule type="expression" dxfId="129" priority="17" stopIfTrue="1">
      <formula>AND(D2&gt;1,ISNUMBER(E30))</formula>
    </cfRule>
  </conditionalFormatting>
  <conditionalFormatting sqref="A31:C31">
    <cfRule type="expression" dxfId="128" priority="18" stopIfTrue="1">
      <formula>AND(D2&gt;1,ISNUMBER(E31))</formula>
    </cfRule>
  </conditionalFormatting>
  <conditionalFormatting sqref="A32:C32">
    <cfRule type="expression" dxfId="127" priority="19" stopIfTrue="1">
      <formula>AND(D2&gt;1,ISNUMBER(E32))</formula>
    </cfRule>
  </conditionalFormatting>
  <conditionalFormatting sqref="F25:J25">
    <cfRule type="expression" dxfId="126" priority="20" stopIfTrue="1">
      <formula>D2&gt;1</formula>
    </cfRule>
  </conditionalFormatting>
  <conditionalFormatting sqref="D27">
    <cfRule type="expression" dxfId="125" priority="21" stopIfTrue="1">
      <formula>AND(D2&gt;1,ISNUMBER(E27))</formula>
    </cfRule>
  </conditionalFormatting>
  <conditionalFormatting sqref="D28">
    <cfRule type="expression" dxfId="124" priority="22" stopIfTrue="1">
      <formula>AND(D2&gt;1,ISNUMBER(E28))</formula>
    </cfRule>
  </conditionalFormatting>
  <conditionalFormatting sqref="D29">
    <cfRule type="expression" dxfId="123" priority="23" stopIfTrue="1">
      <formula>AND(D2&gt;1,ISNUMBER(E29))</formula>
    </cfRule>
  </conditionalFormatting>
  <conditionalFormatting sqref="D30">
    <cfRule type="expression" dxfId="122" priority="24" stopIfTrue="1">
      <formula>AND(D2&gt;1,ISNUMBER(E30))</formula>
    </cfRule>
  </conditionalFormatting>
  <conditionalFormatting sqref="D31">
    <cfRule type="expression" dxfId="121" priority="25" stopIfTrue="1">
      <formula>AND(D2&gt;1,ISNUMBER(E31))</formula>
    </cfRule>
  </conditionalFormatting>
  <conditionalFormatting sqref="D32">
    <cfRule type="expression" dxfId="120" priority="26" stopIfTrue="1">
      <formula>AND(D2&gt;1,ISNUMBER(E32))</formula>
    </cfRule>
  </conditionalFormatting>
  <conditionalFormatting sqref="E26">
    <cfRule type="expression" dxfId="119" priority="27" stopIfTrue="1">
      <formula>D2&gt;1</formula>
    </cfRule>
  </conditionalFormatting>
  <conditionalFormatting sqref="E27">
    <cfRule type="expression" dxfId="118" priority="28" stopIfTrue="1">
      <formula>AND(D2&gt;1,ISNUMBER(E27))</formula>
    </cfRule>
  </conditionalFormatting>
  <conditionalFormatting sqref="E28">
    <cfRule type="expression" dxfId="117" priority="29" stopIfTrue="1">
      <formula>AND(D2&gt;1,ISNUMBER(E28))</formula>
    </cfRule>
  </conditionalFormatting>
  <conditionalFormatting sqref="E29">
    <cfRule type="expression" dxfId="116" priority="30" stopIfTrue="1">
      <formula>AND(D2&gt;1,ISNUMBER(E29))</formula>
    </cfRule>
  </conditionalFormatting>
  <conditionalFormatting sqref="E30">
    <cfRule type="expression" dxfId="115" priority="31" stopIfTrue="1">
      <formula>AND(D2&gt;1,ISNUMBER(E30))</formula>
    </cfRule>
  </conditionalFormatting>
  <conditionalFormatting sqref="E31">
    <cfRule type="expression" dxfId="114" priority="32" stopIfTrue="1">
      <formula>AND(D2&gt;1,ISNUMBER(E31))</formula>
    </cfRule>
  </conditionalFormatting>
  <conditionalFormatting sqref="E32">
    <cfRule type="expression" dxfId="113" priority="33" stopIfTrue="1">
      <formula>AND(D2&gt;1,ISNUMBER(E32))</formula>
    </cfRule>
  </conditionalFormatting>
  <conditionalFormatting sqref="F26">
    <cfRule type="expression" dxfId="112" priority="34" stopIfTrue="1">
      <formula>D2&gt;1</formula>
    </cfRule>
  </conditionalFormatting>
  <conditionalFormatting sqref="G26">
    <cfRule type="expression" dxfId="111" priority="35" stopIfTrue="1">
      <formula>D2&gt;1</formula>
    </cfRule>
  </conditionalFormatting>
  <conditionalFormatting sqref="H26">
    <cfRule type="expression" dxfId="110" priority="36" stopIfTrue="1">
      <formula>D2&gt;1</formula>
    </cfRule>
  </conditionalFormatting>
  <conditionalFormatting sqref="I26">
    <cfRule type="expression" dxfId="109" priority="37" stopIfTrue="1">
      <formula>D2&gt;1</formula>
    </cfRule>
  </conditionalFormatting>
  <conditionalFormatting sqref="J26">
    <cfRule type="expression" dxfId="108" priority="38" stopIfTrue="1">
      <formula>D2&gt;1</formula>
    </cfRule>
  </conditionalFormatting>
  <conditionalFormatting sqref="G27">
    <cfRule type="expression" dxfId="107" priority="39" stopIfTrue="1">
      <formula>D2&gt;1</formula>
    </cfRule>
  </conditionalFormatting>
  <conditionalFormatting sqref="H27">
    <cfRule type="expression" dxfId="106" priority="40" stopIfTrue="1">
      <formula>D2&gt;1</formula>
    </cfRule>
  </conditionalFormatting>
  <conditionalFormatting sqref="I27">
    <cfRule type="expression" dxfId="105" priority="41" stopIfTrue="1">
      <formula>D2&gt;1</formula>
    </cfRule>
  </conditionalFormatting>
  <conditionalFormatting sqref="J27">
    <cfRule type="expression" dxfId="104" priority="42" stopIfTrue="1">
      <formula>D2&gt;1</formula>
    </cfRule>
  </conditionalFormatting>
  <conditionalFormatting sqref="J28">
    <cfRule type="expression" dxfId="103" priority="43" stopIfTrue="1">
      <formula>D2&gt;1</formula>
    </cfRule>
  </conditionalFormatting>
  <conditionalFormatting sqref="I28">
    <cfRule type="expression" dxfId="102" priority="44" stopIfTrue="1">
      <formula>D2&gt;1</formula>
    </cfRule>
  </conditionalFormatting>
  <conditionalFormatting sqref="H28">
    <cfRule type="expression" dxfId="101" priority="45" stopIfTrue="1">
      <formula>D2&gt;1</formula>
    </cfRule>
  </conditionalFormatting>
  <conditionalFormatting sqref="G28">
    <cfRule type="expression" dxfId="100" priority="46" stopIfTrue="1">
      <formula>D2&gt;1</formula>
    </cfRule>
  </conditionalFormatting>
  <conditionalFormatting sqref="F28">
    <cfRule type="expression" dxfId="99" priority="47" stopIfTrue="1">
      <formula>D2&gt;1</formula>
    </cfRule>
  </conditionalFormatting>
  <conditionalFormatting sqref="F29">
    <cfRule type="expression" dxfId="98" priority="48" stopIfTrue="1">
      <formula>D2&gt;1</formula>
    </cfRule>
  </conditionalFormatting>
  <conditionalFormatting sqref="G29">
    <cfRule type="expression" dxfId="97" priority="49" stopIfTrue="1">
      <formula>D2&gt;1</formula>
    </cfRule>
  </conditionalFormatting>
  <conditionalFormatting sqref="H29">
    <cfRule type="expression" dxfId="96" priority="50" stopIfTrue="1">
      <formula>D2&gt;1</formula>
    </cfRule>
  </conditionalFormatting>
  <conditionalFormatting sqref="I29">
    <cfRule type="expression" dxfId="95" priority="51" stopIfTrue="1">
      <formula>D2&gt;1</formula>
    </cfRule>
  </conditionalFormatting>
  <conditionalFormatting sqref="J29">
    <cfRule type="expression" dxfId="94" priority="52" stopIfTrue="1">
      <formula>D2&gt;1</formula>
    </cfRule>
  </conditionalFormatting>
  <conditionalFormatting sqref="J30">
    <cfRule type="expression" dxfId="93" priority="53" stopIfTrue="1">
      <formula>D2&gt;1</formula>
    </cfRule>
  </conditionalFormatting>
  <conditionalFormatting sqref="I30">
    <cfRule type="expression" dxfId="92" priority="54" stopIfTrue="1">
      <formula>D2&gt;1</formula>
    </cfRule>
  </conditionalFormatting>
  <conditionalFormatting sqref="H30">
    <cfRule type="expression" dxfId="91" priority="55" stopIfTrue="1">
      <formula>D2&gt;1</formula>
    </cfRule>
  </conditionalFormatting>
  <conditionalFormatting sqref="G30">
    <cfRule type="expression" dxfId="90" priority="56" stopIfTrue="1">
      <formula>D2&gt;1</formula>
    </cfRule>
  </conditionalFormatting>
  <conditionalFormatting sqref="F30">
    <cfRule type="expression" dxfId="89" priority="57" stopIfTrue="1">
      <formula>D2&gt;1</formula>
    </cfRule>
  </conditionalFormatting>
  <conditionalFormatting sqref="F31">
    <cfRule type="expression" dxfId="88" priority="58" stopIfTrue="1">
      <formula>D2&gt;1</formula>
    </cfRule>
  </conditionalFormatting>
  <conditionalFormatting sqref="G31">
    <cfRule type="expression" dxfId="87" priority="59" stopIfTrue="1">
      <formula>D2&gt;1</formula>
    </cfRule>
  </conditionalFormatting>
  <conditionalFormatting sqref="H31">
    <cfRule type="expression" dxfId="86" priority="60" stopIfTrue="1">
      <formula>D2&gt;1</formula>
    </cfRule>
  </conditionalFormatting>
  <conditionalFormatting sqref="I31">
    <cfRule type="expression" dxfId="85" priority="61" stopIfTrue="1">
      <formula>D2&gt;1</formula>
    </cfRule>
  </conditionalFormatting>
  <conditionalFormatting sqref="J31">
    <cfRule type="expression" dxfId="84" priority="62" stopIfTrue="1">
      <formula>D2&gt;1</formula>
    </cfRule>
  </conditionalFormatting>
  <conditionalFormatting sqref="J32">
    <cfRule type="expression" dxfId="83" priority="63" stopIfTrue="1">
      <formula>D2&gt;1</formula>
    </cfRule>
  </conditionalFormatting>
  <conditionalFormatting sqref="I32">
    <cfRule type="expression" dxfId="82" priority="64" stopIfTrue="1">
      <formula>D2&gt;1</formula>
    </cfRule>
  </conditionalFormatting>
  <conditionalFormatting sqref="H32">
    <cfRule type="expression" dxfId="81" priority="65" stopIfTrue="1">
      <formula>D2&gt;1</formula>
    </cfRule>
  </conditionalFormatting>
  <conditionalFormatting sqref="G32">
    <cfRule type="expression" dxfId="80" priority="66" stopIfTrue="1">
      <formula>D2&gt;1</formula>
    </cfRule>
  </conditionalFormatting>
  <conditionalFormatting sqref="F32">
    <cfRule type="expression" dxfId="79" priority="67" stopIfTrue="1">
      <formula>D2&gt;1</formula>
    </cfRule>
  </conditionalFormatting>
  <conditionalFormatting sqref="F27">
    <cfRule type="expression" dxfId="78" priority="68" stopIfTrue="1">
      <formula>D2&gt;1</formula>
    </cfRule>
  </conditionalFormatting>
  <conditionalFormatting sqref="J15">
    <cfRule type="cellIs" dxfId="77" priority="69" stopIfTrue="1" operator="greaterThan">
      <formula>0</formula>
    </cfRule>
  </conditionalFormatting>
  <conditionalFormatting sqref="E3:E14 D2">
    <cfRule type="cellIs" dxfId="76" priority="70" stopIfTrue="1" operator="greaterThan">
      <formula>0</formula>
    </cfRule>
  </conditionalFormatting>
  <conditionalFormatting sqref="E18:E23">
    <cfRule type="expression" dxfId="75" priority="72" stopIfTrue="1">
      <formula>NOT(ISNUMBER(E18))</formula>
    </cfRule>
  </conditionalFormatting>
  <conditionalFormatting sqref="F18:J22">
    <cfRule type="expression" dxfId="74" priority="73" stopIfTrue="1">
      <formula>F18=0</formula>
    </cfRule>
    <cfRule type="expression" dxfId="73" priority="74" stopIfTrue="1">
      <formula>AND(NOT(F18="Father"),NOT(F18="Mother"))</formula>
    </cfRule>
  </conditionalFormatting>
  <conditionalFormatting sqref="F23">
    <cfRule type="expression" dxfId="72" priority="81" stopIfTrue="1">
      <formula>F23=0</formula>
    </cfRule>
    <cfRule type="expression" dxfId="71" priority="82" stopIfTrue="1">
      <formula>AND(NOT(F23="Father"),NOT(F23="Mother"))</formula>
    </cfRule>
  </conditionalFormatting>
  <conditionalFormatting sqref="F3:F14 J14">
    <cfRule type="cellIs" dxfId="70" priority="85" stopIfTrue="1" operator="greaterThan">
      <formula>0</formula>
    </cfRule>
  </conditionalFormatting>
  <dataValidations xWindow="730" yWindow="338" count="2">
    <dataValidation allowBlank="1" showInputMessage="1" showErrorMessage="1" promptTitle="Parent Entitled To Deduction" prompt="Enter &quot;Father&quot; or &quot;Mother&quot; For Each Child &amp; Each Year To Customize Tax Deductions." sqref="F27:J32" xr:uid="{00000000-0002-0000-0600-000000000000}"/>
    <dataValidation allowBlank="1" showInputMessage="1" showErrorMessage="1" promptTitle="Customized Tax Deductions" prompt="Enter Any Number Greater Than 1 To Customize Tax Deduction Table Shown In Blue Below.  To Compare To Tax Deduction Schedule Delete Number." sqref="D2" xr:uid="{00000000-0002-0000-0600-000001000000}"/>
  </dataValidations>
  <pageMargins left="0.5" right="0.5" top="1" bottom="1.5" header="0.5" footer="0.5"/>
  <pageSetup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N355"/>
  <sheetViews>
    <sheetView topLeftCell="A9" workbookViewId="0">
      <selection activeCell="F18" sqref="F18"/>
    </sheetView>
  </sheetViews>
  <sheetFormatPr defaultColWidth="9.109375" defaultRowHeight="13.2" x14ac:dyDescent="0.25"/>
  <cols>
    <col min="1" max="1" width="7.6640625" style="314" customWidth="1"/>
    <col min="2" max="2" width="9.109375" style="314"/>
    <col min="3" max="3" width="12.33203125" style="314" customWidth="1"/>
    <col min="4" max="4" width="14.33203125" style="314" customWidth="1"/>
    <col min="5" max="5" width="9.6640625" style="311" customWidth="1"/>
    <col min="6" max="6" width="9.6640625" style="314" customWidth="1"/>
    <col min="7" max="8" width="9.109375" style="311"/>
    <col min="9" max="10" width="9.109375" style="314"/>
    <col min="11" max="11" width="6.6640625" style="314" customWidth="1"/>
    <col min="12" max="13" width="7.6640625" style="314" customWidth="1"/>
    <col min="14" max="16384" width="9.109375" style="314"/>
  </cols>
  <sheetData>
    <row r="1" spans="1:13" ht="11.25" customHeight="1" x14ac:dyDescent="0.3">
      <c r="A1" s="413"/>
      <c r="B1" s="1898" t="s">
        <v>909</v>
      </c>
      <c r="C1" s="1898"/>
      <c r="D1" s="1898"/>
      <c r="E1" s="1898"/>
      <c r="F1" s="1898"/>
      <c r="G1" s="1898"/>
      <c r="H1" s="1898"/>
      <c r="I1" s="1898"/>
      <c r="J1" s="414"/>
      <c r="K1" s="415"/>
      <c r="L1" s="415"/>
      <c r="M1" s="415"/>
    </row>
    <row r="2" spans="1:13" ht="39.75" customHeight="1" x14ac:dyDescent="0.25">
      <c r="A2" s="1926" t="s">
        <v>955</v>
      </c>
      <c r="B2" s="1900"/>
      <c r="C2" s="1901"/>
      <c r="D2" s="416" t="str">
        <f>IF(CustomTaxDeduction,2,"")</f>
        <v/>
      </c>
      <c r="E2" s="417" t="s">
        <v>911</v>
      </c>
      <c r="F2" s="418" t="s">
        <v>912</v>
      </c>
      <c r="G2" s="418" t="s">
        <v>913</v>
      </c>
      <c r="H2" s="418" t="s">
        <v>914</v>
      </c>
      <c r="I2" s="418" t="s">
        <v>915</v>
      </c>
      <c r="J2" s="419" t="s">
        <v>916</v>
      </c>
      <c r="K2" s="591"/>
      <c r="L2" s="591"/>
      <c r="M2" s="591"/>
    </row>
    <row r="3" spans="1:13" ht="10.199999999999999" customHeight="1" x14ac:dyDescent="0.25">
      <c r="A3" s="1927" t="s">
        <v>956</v>
      </c>
      <c r="B3" s="1905"/>
      <c r="C3" s="1905"/>
      <c r="D3" s="1906" t="str">
        <f>IF(OR(NOT(ISNUMBER(D2)),D2&gt;1),"",D2)</f>
        <v/>
      </c>
      <c r="E3" s="420">
        <f>IF(AND(D2&gt;G3,D2&lt;=H3),I3,0)</f>
        <v>0</v>
      </c>
      <c r="F3" s="421">
        <f>IF(AND(D7&gt;G3,D7&lt;=H3),I3,0)</f>
        <v>0</v>
      </c>
      <c r="G3" s="421">
        <v>0.9</v>
      </c>
      <c r="H3" s="421">
        <v>1</v>
      </c>
      <c r="I3" s="421">
        <v>0.95</v>
      </c>
      <c r="J3" s="422">
        <v>1</v>
      </c>
      <c r="K3" s="591"/>
      <c r="L3" s="591"/>
      <c r="M3" s="591"/>
    </row>
    <row r="4" spans="1:13" ht="10.199999999999999" customHeight="1" x14ac:dyDescent="0.25">
      <c r="A4" s="1905"/>
      <c r="B4" s="1905"/>
      <c r="C4" s="1905"/>
      <c r="D4" s="1903"/>
      <c r="E4" s="420">
        <f>IF(AND(D2&gt;G4,D2&lt;=H4),I4,0)</f>
        <v>0</v>
      </c>
      <c r="F4" s="421">
        <f>IF(AND(D7&gt;G4,D7&lt;=H4),I4,0)</f>
        <v>0</v>
      </c>
      <c r="G4" s="421">
        <v>0.77500000000000002</v>
      </c>
      <c r="H4" s="421">
        <v>0.9</v>
      </c>
      <c r="I4" s="421">
        <v>0.8</v>
      </c>
      <c r="J4" s="423">
        <v>0.8</v>
      </c>
      <c r="K4" s="591"/>
      <c r="L4" s="591"/>
      <c r="M4" s="591"/>
    </row>
    <row r="5" spans="1:13" ht="10.199999999999999" customHeight="1" x14ac:dyDescent="0.25">
      <c r="A5" s="1905" t="s">
        <v>918</v>
      </c>
      <c r="B5" s="1905"/>
      <c r="C5" s="1905"/>
      <c r="D5" s="1907" t="str">
        <f>Worksheet!U47</f>
        <v/>
      </c>
      <c r="E5" s="420">
        <f>IF(AND(D2&gt;G5,D2&lt;=H5),I5,0)</f>
        <v>0</v>
      </c>
      <c r="F5" s="421">
        <f>IF(AND(D7&gt;G5,D7&lt;=H5),I5,0)</f>
        <v>0</v>
      </c>
      <c r="G5" s="421">
        <v>0.70830000000000004</v>
      </c>
      <c r="H5" s="421">
        <v>0.77500000000000002</v>
      </c>
      <c r="I5" s="421">
        <v>0.75</v>
      </c>
      <c r="J5" s="423">
        <v>0.75</v>
      </c>
      <c r="K5" s="591"/>
      <c r="L5" s="591"/>
      <c r="M5" s="591"/>
    </row>
    <row r="6" spans="1:13" ht="10.199999999999999" customHeight="1" x14ac:dyDescent="0.25">
      <c r="A6" s="1905"/>
      <c r="B6" s="1905"/>
      <c r="C6" s="1905"/>
      <c r="D6" s="1903"/>
      <c r="E6" s="420">
        <f>IF(AND(D2&gt;G6,D2&lt;=H6),I6,0)</f>
        <v>0</v>
      </c>
      <c r="F6" s="421">
        <f>IF(AND(D7&gt;G6,D7&lt;=H6),I6,0)</f>
        <v>0</v>
      </c>
      <c r="G6" s="421">
        <v>0.63329999999999997</v>
      </c>
      <c r="H6" s="421">
        <v>0.70830000000000004</v>
      </c>
      <c r="I6" s="421">
        <v>0.7</v>
      </c>
      <c r="J6" s="423">
        <v>0.66666666666666663</v>
      </c>
      <c r="K6" s="591"/>
      <c r="L6" s="591"/>
      <c r="M6" s="591"/>
    </row>
    <row r="7" spans="1:13" ht="10.199999999999999" customHeight="1" x14ac:dyDescent="0.25">
      <c r="A7" s="1927" t="s">
        <v>957</v>
      </c>
      <c r="B7" s="1905"/>
      <c r="C7" s="1905"/>
      <c r="D7" s="1908" t="str">
        <f>Worksheet!U71</f>
        <v/>
      </c>
      <c r="E7" s="420">
        <f>IF(AND(D2&gt;G7,D2&lt;=H7),I7,0)</f>
        <v>0</v>
      </c>
      <c r="F7" s="421">
        <f>IF(AND(D7&gt;G7,D7&lt;=H7),I7,0)</f>
        <v>0</v>
      </c>
      <c r="G7" s="421">
        <v>0.55000000000000004</v>
      </c>
      <c r="H7" s="421">
        <v>0.63329999999999997</v>
      </c>
      <c r="I7" s="421">
        <v>0.6</v>
      </c>
      <c r="J7" s="423">
        <v>0.6</v>
      </c>
      <c r="K7" s="591"/>
      <c r="L7" s="591"/>
      <c r="M7" s="591"/>
    </row>
    <row r="8" spans="1:13" ht="10.199999999999999" customHeight="1" x14ac:dyDescent="0.25">
      <c r="A8" s="1905"/>
      <c r="B8" s="1905"/>
      <c r="C8" s="1905"/>
      <c r="D8" s="1909"/>
      <c r="E8" s="420">
        <f>IF(AND(D2&gt;G8,D2&lt;=H8),I8,0)</f>
        <v>0</v>
      </c>
      <c r="F8" s="421">
        <f>IF(AND(D7&gt;G8,D7&lt;=H8),I8,0)</f>
        <v>0</v>
      </c>
      <c r="G8" s="421">
        <v>0.45</v>
      </c>
      <c r="H8" s="421">
        <v>0.55000000000000004</v>
      </c>
      <c r="I8" s="421">
        <v>0.5</v>
      </c>
      <c r="J8" s="423">
        <v>0.5</v>
      </c>
      <c r="K8" s="591"/>
      <c r="L8" s="591"/>
      <c r="M8" s="591"/>
    </row>
    <row r="9" spans="1:13" ht="10.199999999999999" customHeight="1" x14ac:dyDescent="0.25">
      <c r="A9" s="1905" t="s">
        <v>920</v>
      </c>
      <c r="B9" s="1905"/>
      <c r="C9" s="1905"/>
      <c r="D9" s="1902" t="str">
        <f>IF(NOT(ISNUMBER(D5)),"",IF(D5&gt;6,61,D5*10+1+F14))</f>
        <v/>
      </c>
      <c r="E9" s="420">
        <f>IF(AND(D2&gt;G9,D2&lt;=H9),I9,0)</f>
        <v>0</v>
      </c>
      <c r="F9" s="421">
        <f>IF(AND(D7&gt;G9,D7&lt;=H9),I9,0)</f>
        <v>0</v>
      </c>
      <c r="G9" s="421">
        <v>0.36659999999999998</v>
      </c>
      <c r="H9" s="421">
        <v>0.45</v>
      </c>
      <c r="I9" s="421">
        <v>0.4</v>
      </c>
      <c r="J9" s="423">
        <v>0.4</v>
      </c>
      <c r="K9" s="591"/>
      <c r="L9" s="591"/>
      <c r="M9" s="591"/>
    </row>
    <row r="10" spans="1:13" ht="10.199999999999999" customHeight="1" x14ac:dyDescent="0.25">
      <c r="A10" s="1905"/>
      <c r="B10" s="1905"/>
      <c r="C10" s="1905"/>
      <c r="D10" s="1903"/>
      <c r="E10" s="420">
        <f>IF(AND(D2&gt;G10,D2&lt;=H10),I10,0)</f>
        <v>0</v>
      </c>
      <c r="F10" s="421">
        <f>IF(AND(D7&gt;G10,D7&lt;=H10),I10,0)</f>
        <v>0</v>
      </c>
      <c r="G10" s="421">
        <v>0.29160000000000003</v>
      </c>
      <c r="H10" s="421">
        <v>0.36659999999999998</v>
      </c>
      <c r="I10" s="421">
        <v>0.3</v>
      </c>
      <c r="J10" s="423">
        <v>0.33333333333333331</v>
      </c>
      <c r="K10" s="591"/>
      <c r="L10" s="424"/>
      <c r="M10" s="684"/>
    </row>
    <row r="11" spans="1:13" ht="10.199999999999999" customHeight="1" x14ac:dyDescent="0.25">
      <c r="A11" s="1904" t="s">
        <v>921</v>
      </c>
      <c r="B11" s="1904"/>
      <c r="C11" s="1904"/>
      <c r="D11" s="1902" t="str">
        <f>IF(NOT(ISNUMBER(D2)),"",IF(D2&gt;1,101,IF(D5&gt;6,61,D5*10+1+E14)))</f>
        <v/>
      </c>
      <c r="E11" s="420">
        <f>IF(AND(D2&gt;G11,D2&lt;=H11),I11,0)</f>
        <v>0</v>
      </c>
      <c r="F11" s="421">
        <f>IF(AND(D7&gt;G11,D7&lt;=H11),I11,0)</f>
        <v>0</v>
      </c>
      <c r="G11" s="421">
        <v>0.22500000000000001</v>
      </c>
      <c r="H11" s="421">
        <v>0.29160000000000003</v>
      </c>
      <c r="I11" s="421">
        <v>0.25</v>
      </c>
      <c r="J11" s="423">
        <v>0.25</v>
      </c>
      <c r="K11" s="591"/>
      <c r="L11" s="424"/>
      <c r="M11" s="684"/>
    </row>
    <row r="12" spans="1:13" ht="10.199999999999999" customHeight="1" x14ac:dyDescent="0.25">
      <c r="A12" s="1905"/>
      <c r="B12" s="1905"/>
      <c r="C12" s="1905"/>
      <c r="D12" s="1903"/>
      <c r="E12" s="420">
        <f>IF(AND(D2&gt;G12,D2&lt;=H12),I12,0)</f>
        <v>0</v>
      </c>
      <c r="F12" s="421">
        <f>IF(AND(D7&gt;G12,D7&lt;=H12),I12,0)</f>
        <v>0</v>
      </c>
      <c r="G12" s="421">
        <v>0.1</v>
      </c>
      <c r="H12" s="421">
        <v>0.22500000000000001</v>
      </c>
      <c r="I12" s="421">
        <v>0.2</v>
      </c>
      <c r="J12" s="423">
        <v>0.2</v>
      </c>
      <c r="K12" s="591"/>
      <c r="L12" s="424"/>
      <c r="M12" s="684"/>
    </row>
    <row r="13" spans="1:13" ht="10.199999999999999" customHeight="1" x14ac:dyDescent="0.25">
      <c r="A13" s="1905" t="s">
        <v>922</v>
      </c>
      <c r="B13" s="1905"/>
      <c r="C13" s="1905"/>
      <c r="D13" s="1902" t="str">
        <f>IF(ISNUMBER(D2),D11,D9)</f>
        <v/>
      </c>
      <c r="E13" s="420">
        <f>IF(AND(D2&gt;G13,D2&lt;=H13),I13,0)</f>
        <v>0</v>
      </c>
      <c r="F13" s="421">
        <f>IF(AND(D7&gt;G13,D7&lt;=H13),I13,0)</f>
        <v>0</v>
      </c>
      <c r="G13" s="421">
        <v>0</v>
      </c>
      <c r="H13" s="421">
        <v>0.1</v>
      </c>
      <c r="I13" s="421">
        <v>0</v>
      </c>
      <c r="J13" s="423">
        <v>0</v>
      </c>
      <c r="K13" s="591"/>
      <c r="L13" s="424"/>
      <c r="M13" s="684"/>
    </row>
    <row r="14" spans="1:13" ht="10.199999999999999" customHeight="1" x14ac:dyDescent="0.25">
      <c r="A14" s="1905"/>
      <c r="B14" s="1905"/>
      <c r="C14" s="1905"/>
      <c r="D14" s="1903"/>
      <c r="E14" s="420">
        <f>SUM(E3:E13)</f>
        <v>0</v>
      </c>
      <c r="F14" s="421">
        <f>SUM(F3:F13)</f>
        <v>0</v>
      </c>
      <c r="G14" s="425"/>
      <c r="H14" s="425"/>
      <c r="I14" s="425"/>
      <c r="J14" s="423">
        <f>F14</f>
        <v>0</v>
      </c>
      <c r="K14" s="684"/>
      <c r="L14" s="424"/>
      <c r="M14" s="684"/>
    </row>
    <row r="15" spans="1:13" ht="9.75" customHeight="1" x14ac:dyDescent="0.25">
      <c r="A15" s="49"/>
      <c r="B15" s="426"/>
      <c r="C15" s="427"/>
      <c r="D15" s="428"/>
      <c r="E15" s="1924">
        <f>IF(NOT(ISNUMBER(D2)),F14,E14)</f>
        <v>0</v>
      </c>
      <c r="F15" s="1924"/>
      <c r="G15" s="426"/>
      <c r="H15" s="428"/>
      <c r="I15" s="426"/>
      <c r="J15" s="429"/>
      <c r="K15" s="684"/>
      <c r="L15" s="424"/>
      <c r="M15" s="684"/>
    </row>
    <row r="16" spans="1:13" x14ac:dyDescent="0.25">
      <c r="A16" s="1910" t="s">
        <v>142</v>
      </c>
      <c r="B16" s="1911"/>
      <c r="C16" s="1912"/>
      <c r="D16" s="1210" t="s">
        <v>18</v>
      </c>
      <c r="E16" s="1922" t="s">
        <v>923</v>
      </c>
      <c r="F16" s="1216" t="s">
        <v>924</v>
      </c>
      <c r="G16" s="1920"/>
      <c r="H16" s="1920"/>
      <c r="I16" s="1920"/>
      <c r="J16" s="1921"/>
      <c r="K16" s="671"/>
      <c r="L16" s="591"/>
      <c r="M16" s="591"/>
    </row>
    <row r="17" spans="1:14" x14ac:dyDescent="0.25">
      <c r="A17" s="1913"/>
      <c r="B17" s="1914"/>
      <c r="C17" s="1915"/>
      <c r="D17" s="1916"/>
      <c r="E17" s="1923"/>
      <c r="F17" s="59" t="str">
        <f ca="1">IF(NOT(ISNUMBER(D18)),"",YEAR(TODAY()))</f>
        <v/>
      </c>
      <c r="G17" s="634" t="str">
        <f>IF(NOT(ISNUMBER(D18)),"",IF(F17+1&lt;=YEAR(MAX(D18:D23))+18,F17+1,""))</f>
        <v/>
      </c>
      <c r="H17" s="634" t="str">
        <f>IF(OR(NOT(ISNUMBER(D18)),E15=0.5),"",IF(F17+2&lt;=YEAR(MAX(D18:D23))+18,F17+2,""))</f>
        <v/>
      </c>
      <c r="I17" s="634" t="str">
        <f>IF(OR(NOT(ISNUMBER(D18)),E15=0.7,E15=0.5,E15=0.3),"",IF(F17+3&lt;=YEAR(MAX(D18:D23))+18,F17+3,""))</f>
        <v/>
      </c>
      <c r="J17" s="634" t="str">
        <f>IF(OR(NOT(ISNUMBER(D18)),E15=0.75,E15=0.7,E15=0.5,E15=0.3,E15=0.25),"",IF(F17+4&lt;=YEAR(MAX(D18:D23))+18,F17+4,""))</f>
        <v/>
      </c>
      <c r="K17" s="591"/>
      <c r="L17" s="591"/>
      <c r="M17" s="591"/>
      <c r="N17" s="592"/>
    </row>
    <row r="18" spans="1:14" x14ac:dyDescent="0.25">
      <c r="A18" s="1892" t="str">
        <f>IF(NOT(ISBLANK(ChildSupportOrder!C102)),ChildSupportOrder!C102,"")</f>
        <v/>
      </c>
      <c r="B18" s="1893"/>
      <c r="C18" s="1894"/>
      <c r="D18" s="625" t="str">
        <f>ChildSupportOrder!I102</f>
        <v/>
      </c>
      <c r="E18" s="60" t="e">
        <f t="shared" ref="E18:E23" ca="1" si="0">(TODAY()-D18)/365.25</f>
        <v>#VALUE!</v>
      </c>
      <c r="F18" s="57" t="str">
        <f>IF(NOT(ISNUMBER(ChildSupportOrder!M19)),"",IF(F17&lt;=YEAR(D18)+18,VLOOKUP(D13,D27:J331,3,FALSE),""))</f>
        <v/>
      </c>
      <c r="G18" s="57" t="str">
        <f>IF(NOT(ISNUMBER(ChildSupportOrder!M19)),"",IF(G17&lt;=YEAR(D18)+18,VLOOKUP(D13,D27:J331,4,FALSE),""))</f>
        <v/>
      </c>
      <c r="H18" s="57" t="str">
        <f>IF(NOT(ISNUMBER(ChildSupportOrder!M19)),"",IF(H17&lt;=YEAR(D18)+18,VLOOKUP(D13,D27:J331,5,FALSE),""))</f>
        <v/>
      </c>
      <c r="I18" s="57" t="str">
        <f>IF(NOT(ISNUMBER(ChildSupportOrder!M19)),"",IF(I17&lt;=YEAR(D18)+18,VLOOKUP(D13,D27:J331,6,FALSE),""))</f>
        <v/>
      </c>
      <c r="J18" s="57" t="str">
        <f>IF(NOT(ISNUMBER(ChildSupportOrder!M19)),"",IF(J17&lt;=YEAR(D18)+18,VLOOKUP(D13,D27:J331,7,FALSE),""))</f>
        <v/>
      </c>
      <c r="K18" s="591"/>
      <c r="L18" s="591"/>
      <c r="M18" s="591"/>
      <c r="N18" s="592"/>
    </row>
    <row r="19" spans="1:14" x14ac:dyDescent="0.25">
      <c r="A19" s="1892" t="str">
        <f>IF(NOT(ISBLANK(ChildSupportOrder!C103)),ChildSupportOrder!C103,"")</f>
        <v/>
      </c>
      <c r="B19" s="1893"/>
      <c r="C19" s="1894"/>
      <c r="D19" s="625" t="str">
        <f>ChildSupportOrder!I103</f>
        <v/>
      </c>
      <c r="E19" s="60" t="e">
        <f t="shared" ca="1" si="0"/>
        <v>#VALUE!</v>
      </c>
      <c r="F19" s="57" t="str">
        <f>IF(NOT(ISNUMBER(ChildSupportOrder!M20)),"",IF(F17&lt;=YEAR(D19)+18,VLOOKUP(D13+1,D27:J331,3,FALSE),""))</f>
        <v/>
      </c>
      <c r="G19" s="57" t="str">
        <f>IF(NOT(ISNUMBER(ChildSupportOrder!M20)),"",IF(G17&lt;=YEAR(D19)+18,VLOOKUP(D13+1,D27:J331,4,FALSE),""))</f>
        <v/>
      </c>
      <c r="H19" s="57" t="str">
        <f>IF(NOT(ISNUMBER(ChildSupportOrder!M20)),"",IF(H17&lt;=YEAR(D19)+18,VLOOKUP(D13+1,D27:J331,5,FALSE),""))</f>
        <v/>
      </c>
      <c r="I19" s="57" t="str">
        <f>IF(NOT(ISNUMBER(ChildSupportOrder!M20)),"",IF(I17&lt;=YEAR(D19)+18,VLOOKUP(D13+1,D27:J331,6,FALSE),""))</f>
        <v/>
      </c>
      <c r="J19" s="57" t="str">
        <f>IF(NOT(ISNUMBER(ChildSupportOrder!M20)),"",IF(J17&lt;=YEAR(D19)+18,VLOOKUP(D13+1,D27:J331,7,FALSE),""))</f>
        <v/>
      </c>
      <c r="K19" s="591"/>
      <c r="L19" s="591"/>
      <c r="M19" s="591"/>
      <c r="N19" s="592"/>
    </row>
    <row r="20" spans="1:14" x14ac:dyDescent="0.25">
      <c r="A20" s="1892" t="str">
        <f>IF(NOT(ISBLANK(ChildSupportOrder!C104)),ChildSupportOrder!C104,"")</f>
        <v/>
      </c>
      <c r="B20" s="1893"/>
      <c r="C20" s="1894"/>
      <c r="D20" s="625" t="str">
        <f>ChildSupportOrder!I104</f>
        <v/>
      </c>
      <c r="E20" s="60" t="e">
        <f t="shared" ca="1" si="0"/>
        <v>#VALUE!</v>
      </c>
      <c r="F20" s="57" t="str">
        <f>IF(NOT(ISNUMBER(ChildSupportOrder!M21)),"",IF(F17&lt;=YEAR(D20)+18,VLOOKUP(D13+2,D27:J331,3,FALSE),""))</f>
        <v/>
      </c>
      <c r="G20" s="57" t="str">
        <f>IF(NOT(ISNUMBER(ChildSupportOrder!M21)),"",IF(G17&lt;=YEAR(D20)+18,VLOOKUP(D13+2,D27:J331,4,FALSE),""))</f>
        <v/>
      </c>
      <c r="H20" s="57" t="str">
        <f>IF(NOT(ISNUMBER(ChildSupportOrder!M21)),"",IF(H17&lt;=YEAR(D20)+18,VLOOKUP(D13+2,D27:J331,5,FALSE),""))</f>
        <v/>
      </c>
      <c r="I20" s="57" t="str">
        <f>IF(NOT(ISNUMBER(ChildSupportOrder!M21)),"",IF(I17&lt;=YEAR(D20)+18,VLOOKUP(D13+2,D27:J331,6,FALSE),""))</f>
        <v/>
      </c>
      <c r="J20" s="57" t="str">
        <f>IF(NOT(ISNUMBER(ChildSupportOrder!M21)),"",IF(J17&lt;=YEAR(D20)+18,VLOOKUP(D13+2,D27:J331,7,FALSE),""))</f>
        <v/>
      </c>
      <c r="K20" s="591"/>
      <c r="L20" s="591"/>
      <c r="M20" s="591"/>
      <c r="N20" s="592"/>
    </row>
    <row r="21" spans="1:14" x14ac:dyDescent="0.25">
      <c r="A21" s="1892" t="str">
        <f>IF(NOT(ISBLANK(ChildSupportOrder!C105)),ChildSupportOrder!C105,"")</f>
        <v/>
      </c>
      <c r="B21" s="1893"/>
      <c r="C21" s="1894"/>
      <c r="D21" s="625" t="str">
        <f>ChildSupportOrder!I105</f>
        <v/>
      </c>
      <c r="E21" s="60" t="e">
        <f t="shared" ca="1" si="0"/>
        <v>#VALUE!</v>
      </c>
      <c r="F21" s="57" t="str">
        <f>IF(NOT(ISNUMBER(ChildSupportOrder!M22)),"",IF(F17&lt;=YEAR(D21)+18,VLOOKUP(D13+3,D27:J331,3,FALSE),""))</f>
        <v/>
      </c>
      <c r="G21" s="57" t="str">
        <f>IF(NOT(ISNUMBER(ChildSupportOrder!M22)),"",IF(G17&lt;=YEAR(D21)+18,VLOOKUP(D13+3,D27:J331,4,FALSE),""))</f>
        <v/>
      </c>
      <c r="H21" s="57" t="str">
        <f>IF(NOT(ISNUMBER(ChildSupportOrder!M22)),"",IF(H17&lt;=YEAR(D21)+18,VLOOKUP(D13+3,D27:J331,5,FALSE),""))</f>
        <v/>
      </c>
      <c r="I21" s="57" t="str">
        <f>IF(NOT(ISNUMBER(ChildSupportOrder!M22)),"",IF(I17&lt;=YEAR(D21)+18,VLOOKUP(D13+3,D27:J331,6,FALSE),""))</f>
        <v/>
      </c>
      <c r="J21" s="57" t="str">
        <f>IF(NOT(ISNUMBER(ChildSupportOrder!M22)),"",IF(J17&lt;=YEAR(D21)+18,VLOOKUP(D13+3,D27:J331,7,FALSE),""))</f>
        <v/>
      </c>
      <c r="K21" s="591"/>
      <c r="L21" s="591"/>
      <c r="M21" s="591"/>
      <c r="N21" s="592"/>
    </row>
    <row r="22" spans="1:14" x14ac:dyDescent="0.25">
      <c r="A22" s="1892" t="str">
        <f>IF(NOT(ISBLANK(ChildSupportOrder!C106)),ChildSupportOrder!C106,"")</f>
        <v/>
      </c>
      <c r="B22" s="1893"/>
      <c r="C22" s="1894"/>
      <c r="D22" s="625" t="str">
        <f>ChildSupportOrder!I106</f>
        <v/>
      </c>
      <c r="E22" s="60" t="e">
        <f t="shared" ca="1" si="0"/>
        <v>#VALUE!</v>
      </c>
      <c r="F22" s="57" t="str">
        <f>IF(NOT(ISNUMBER(ChildSupportOrder!M23)),"",IF(F17&lt;=YEAR(D22)+18,VLOOKUP(D13+4,D27:J331,3,FALSE),""))</f>
        <v/>
      </c>
      <c r="G22" s="57" t="str">
        <f>IF(NOT(ISNUMBER(ChildSupportOrder!M23)),"",IF(G17&lt;=YEAR(D22)+18,VLOOKUP(D13+4,D27:J331,4,FALSE),""))</f>
        <v/>
      </c>
      <c r="H22" s="57" t="str">
        <f>IF(NOT(ISNUMBER(ChildSupportOrder!M23)),"",IF(H17&lt;=YEAR(D22)+18,VLOOKUP(D13+4,D27:J331,5,FALSE),""))</f>
        <v/>
      </c>
      <c r="I22" s="57" t="str">
        <f>IF(NOT(ISNUMBER(ChildSupportOrder!M23)),"",IF(I17&lt;=YEAR(D22)+18,VLOOKUP(D13+4,D27:J331,6,FALSE),""))</f>
        <v/>
      </c>
      <c r="J22" s="57" t="str">
        <f>IF(NOT(ISNUMBER(ChildSupportOrder!M23)),"",IF(J17&lt;=YEAR(D22)+18,VLOOKUP(D13+4,D27:J331,7,FALSE),""))</f>
        <v/>
      </c>
      <c r="K22" s="591"/>
      <c r="L22" s="591"/>
      <c r="M22" s="591"/>
      <c r="N22" s="592"/>
    </row>
    <row r="23" spans="1:14" x14ac:dyDescent="0.25">
      <c r="A23" s="1892" t="str">
        <f>IF(NOT(ISBLANK(ChildSupportOrder!C107)),ChildSupportOrder!C107,"")</f>
        <v/>
      </c>
      <c r="B23" s="1893"/>
      <c r="C23" s="1894"/>
      <c r="D23" s="472" t="str">
        <f>ChildSupportOrder!I107</f>
        <v/>
      </c>
      <c r="E23" s="473" t="e">
        <f t="shared" ca="1" si="0"/>
        <v>#VALUE!</v>
      </c>
      <c r="F23" s="474" t="str">
        <f>IF(NOT(ISNUMBER(ChildSupportOrder!M24)),"",IF(F17&lt;=YEAR(D23)+18,VLOOKUP(D13+5,D27:J331,3,FALSE),""))</f>
        <v/>
      </c>
      <c r="G23" s="474" t="str">
        <f>IF(NOT(ISNUMBER(ChildSupportOrder!M24)),"",IF(G17&lt;=YEAR(D23)+18,VLOOKUP(D13+5,D27:J331,4,FALSE),""))</f>
        <v/>
      </c>
      <c r="H23" s="474" t="str">
        <f>IF(NOT(ISNUMBER(ChildSupportOrder!M24)),"",IF(H17&lt;=YEAR(D23)+18,VLOOKUP(D13+5,D27:J331,5,FALSE),""))</f>
        <v/>
      </c>
      <c r="I23" s="474" t="str">
        <f>IF(NOT(ISNUMBER(ChildSupportOrder!M24)),"",IF(I17&lt;=YEAR(D23)+18,VLOOKUP(D13+5,D27:J331,6,FALSE),""))</f>
        <v/>
      </c>
      <c r="J23" s="474" t="str">
        <f>IF(NOT(ISNUMBER(ChildSupportOrder!M24)),"",IF(J17&lt;=YEAR(D23)+18,VLOOKUP(D13+5,D27:J331,7,FALSE),""))</f>
        <v/>
      </c>
      <c r="K23" s="591"/>
      <c r="L23" s="591"/>
      <c r="M23" s="430"/>
      <c r="N23" s="117"/>
    </row>
    <row r="24" spans="1:14" ht="14.4" x14ac:dyDescent="0.3">
      <c r="A24" s="1925" t="s">
        <v>925</v>
      </c>
      <c r="B24" s="1925"/>
      <c r="C24" s="1925"/>
      <c r="D24" s="475">
        <v>1</v>
      </c>
      <c r="E24" s="475">
        <v>2</v>
      </c>
      <c r="F24" s="475">
        <v>3</v>
      </c>
      <c r="G24" s="475">
        <v>4</v>
      </c>
      <c r="H24" s="475">
        <v>5</v>
      </c>
      <c r="I24" s="475">
        <v>6</v>
      </c>
      <c r="J24" s="475">
        <v>7</v>
      </c>
      <c r="K24" s="475" t="s">
        <v>926</v>
      </c>
      <c r="L24" s="591"/>
      <c r="M24" s="591"/>
      <c r="N24" s="592"/>
    </row>
    <row r="25" spans="1:14" ht="14.4" x14ac:dyDescent="0.3">
      <c r="A25" s="63"/>
      <c r="B25" s="64"/>
      <c r="C25" s="64"/>
      <c r="D25" s="58"/>
      <c r="E25" s="65"/>
      <c r="F25" s="1928" t="s">
        <v>151</v>
      </c>
      <c r="G25" s="1929"/>
      <c r="H25" s="1929"/>
      <c r="I25" s="1929"/>
      <c r="J25" s="1930"/>
      <c r="K25" s="475"/>
      <c r="L25" s="591"/>
      <c r="M25" s="591"/>
      <c r="N25" s="592"/>
    </row>
    <row r="26" spans="1:14" ht="14.4" x14ac:dyDescent="0.3">
      <c r="A26" s="1896" t="s">
        <v>927</v>
      </c>
      <c r="B26" s="1897"/>
      <c r="C26" s="1005"/>
      <c r="D26" s="657"/>
      <c r="E26" s="657" t="s">
        <v>19</v>
      </c>
      <c r="F26" s="431">
        <f ca="1">YEAR(TODAY())</f>
        <v>2022</v>
      </c>
      <c r="G26" s="431">
        <f ca="1">F26+1</f>
        <v>2023</v>
      </c>
      <c r="H26" s="431">
        <f ca="1">G26+1</f>
        <v>2024</v>
      </c>
      <c r="I26" s="431">
        <f ca="1">H26+1</f>
        <v>2025</v>
      </c>
      <c r="J26" s="431">
        <f ca="1">I26+1</f>
        <v>2026</v>
      </c>
      <c r="K26" s="475"/>
      <c r="L26" s="432"/>
      <c r="M26" s="66"/>
      <c r="N26" s="592"/>
    </row>
    <row r="27" spans="1:14" ht="14.4" x14ac:dyDescent="0.3">
      <c r="A27" s="1889" t="str">
        <f t="shared" ref="A27:A32" si="1">A18</f>
        <v/>
      </c>
      <c r="B27" s="1890"/>
      <c r="C27" s="1891"/>
      <c r="D27" s="433">
        <v>101</v>
      </c>
      <c r="E27" s="67" t="str">
        <f t="shared" ref="E27:E32" ca="1" si="2">IF(ISNUMBER(E18),E18,"")</f>
        <v/>
      </c>
      <c r="F27" s="434">
        <f>Worksheet!L166</f>
        <v>0</v>
      </c>
      <c r="G27" s="434">
        <f>Worksheet!O166</f>
        <v>0</v>
      </c>
      <c r="H27" s="434">
        <f>Worksheet!R166</f>
        <v>0</v>
      </c>
      <c r="I27" s="434">
        <f>Worksheet!U166</f>
        <v>0</v>
      </c>
      <c r="J27" s="434">
        <f>Worksheet!X166</f>
        <v>0</v>
      </c>
      <c r="K27" s="475">
        <v>0</v>
      </c>
      <c r="L27" s="436"/>
      <c r="M27" s="684"/>
      <c r="N27" s="592"/>
    </row>
    <row r="28" spans="1:14" ht="12.75" customHeight="1" x14ac:dyDescent="0.3">
      <c r="A28" s="1889" t="str">
        <f t="shared" si="1"/>
        <v/>
      </c>
      <c r="B28" s="1890"/>
      <c r="C28" s="1891"/>
      <c r="D28" s="433">
        <v>102</v>
      </c>
      <c r="E28" s="67" t="str">
        <f t="shared" ca="1" si="2"/>
        <v/>
      </c>
      <c r="F28" s="434">
        <f>Worksheet!L167</f>
        <v>0</v>
      </c>
      <c r="G28" s="434">
        <f>Worksheet!O167</f>
        <v>0</v>
      </c>
      <c r="H28" s="434">
        <f>Worksheet!R167</f>
        <v>0</v>
      </c>
      <c r="I28" s="434">
        <f>Worksheet!U167</f>
        <v>0</v>
      </c>
      <c r="J28" s="434">
        <f>Worksheet!X167</f>
        <v>0</v>
      </c>
      <c r="K28" s="475">
        <v>1</v>
      </c>
      <c r="L28" s="436"/>
      <c r="M28" s="684"/>
      <c r="N28" s="592"/>
    </row>
    <row r="29" spans="1:14" ht="12.75" customHeight="1" x14ac:dyDescent="0.3">
      <c r="A29" s="1889" t="str">
        <f t="shared" si="1"/>
        <v/>
      </c>
      <c r="B29" s="1890"/>
      <c r="C29" s="1891"/>
      <c r="D29" s="433">
        <v>103</v>
      </c>
      <c r="E29" s="67" t="str">
        <f t="shared" ca="1" si="2"/>
        <v/>
      </c>
      <c r="F29" s="434">
        <f>Worksheet!L168</f>
        <v>0</v>
      </c>
      <c r="G29" s="434">
        <f>Worksheet!O168</f>
        <v>0</v>
      </c>
      <c r="H29" s="434">
        <f>Worksheet!R168</f>
        <v>0</v>
      </c>
      <c r="I29" s="434">
        <f>Worksheet!U168</f>
        <v>0</v>
      </c>
      <c r="J29" s="434">
        <f>Worksheet!X168</f>
        <v>0</v>
      </c>
      <c r="K29" s="475">
        <v>2</v>
      </c>
      <c r="L29" s="436"/>
      <c r="M29" s="684"/>
      <c r="N29" s="592"/>
    </row>
    <row r="30" spans="1:14" ht="14.4" x14ac:dyDescent="0.3">
      <c r="A30" s="1889" t="str">
        <f t="shared" si="1"/>
        <v/>
      </c>
      <c r="B30" s="1890"/>
      <c r="C30" s="1891"/>
      <c r="D30" s="433">
        <v>104</v>
      </c>
      <c r="E30" s="67" t="str">
        <f t="shared" ca="1" si="2"/>
        <v/>
      </c>
      <c r="F30" s="434">
        <f>Worksheet!L169</f>
        <v>0</v>
      </c>
      <c r="G30" s="434">
        <f>Worksheet!O169</f>
        <v>0</v>
      </c>
      <c r="H30" s="434">
        <f>Worksheet!R169</f>
        <v>0</v>
      </c>
      <c r="I30" s="434">
        <f>Worksheet!U169</f>
        <v>0</v>
      </c>
      <c r="J30" s="434">
        <f>Worksheet!X169</f>
        <v>0</v>
      </c>
      <c r="K30" s="475">
        <v>3</v>
      </c>
      <c r="L30" s="436"/>
      <c r="M30" s="684"/>
      <c r="N30" s="592"/>
    </row>
    <row r="31" spans="1:14" ht="14.4" x14ac:dyDescent="0.3">
      <c r="A31" s="1889" t="str">
        <f t="shared" si="1"/>
        <v/>
      </c>
      <c r="B31" s="1890"/>
      <c r="C31" s="1891"/>
      <c r="D31" s="433">
        <v>105</v>
      </c>
      <c r="E31" s="67" t="str">
        <f t="shared" ca="1" si="2"/>
        <v/>
      </c>
      <c r="F31" s="434">
        <f>Worksheet!L170</f>
        <v>0</v>
      </c>
      <c r="G31" s="434">
        <f>Worksheet!O170</f>
        <v>0</v>
      </c>
      <c r="H31" s="434">
        <f>Worksheet!R170</f>
        <v>0</v>
      </c>
      <c r="I31" s="434">
        <f>Worksheet!U170</f>
        <v>0</v>
      </c>
      <c r="J31" s="434">
        <f>Worksheet!X170</f>
        <v>0</v>
      </c>
      <c r="K31" s="475">
        <v>4</v>
      </c>
      <c r="L31" s="436"/>
      <c r="M31" s="684"/>
      <c r="N31" s="592"/>
    </row>
    <row r="32" spans="1:14" ht="14.4" x14ac:dyDescent="0.3">
      <c r="A32" s="1889" t="str">
        <f t="shared" si="1"/>
        <v/>
      </c>
      <c r="B32" s="1890"/>
      <c r="C32" s="1891"/>
      <c r="D32" s="433">
        <v>106</v>
      </c>
      <c r="E32" s="67" t="str">
        <f t="shared" ca="1" si="2"/>
        <v/>
      </c>
      <c r="F32" s="434">
        <f>Worksheet!L171</f>
        <v>0</v>
      </c>
      <c r="G32" s="434">
        <f>Worksheet!O171</f>
        <v>0</v>
      </c>
      <c r="H32" s="434">
        <f>Worksheet!R171</f>
        <v>0</v>
      </c>
      <c r="I32" s="434">
        <f>Worksheet!U171</f>
        <v>0</v>
      </c>
      <c r="J32" s="434">
        <f>Worksheet!X171</f>
        <v>0</v>
      </c>
      <c r="K32" s="475">
        <v>5</v>
      </c>
      <c r="L32" s="432"/>
      <c r="M32" s="624"/>
      <c r="N32" s="592"/>
    </row>
    <row r="33" spans="1:13" x14ac:dyDescent="0.25">
      <c r="A33" s="66"/>
      <c r="B33" s="437"/>
      <c r="C33" s="438"/>
      <c r="D33" s="439"/>
      <c r="E33" s="439"/>
      <c r="F33" s="440"/>
      <c r="G33" s="440"/>
      <c r="H33" s="440"/>
      <c r="I33" s="440"/>
      <c r="J33" s="440"/>
      <c r="K33" s="66"/>
      <c r="L33" s="432"/>
      <c r="M33" s="624"/>
    </row>
    <row r="34" spans="1:13" ht="52.8" x14ac:dyDescent="0.25">
      <c r="A34" s="733" t="s">
        <v>928</v>
      </c>
      <c r="B34" s="441" t="s">
        <v>958</v>
      </c>
      <c r="C34" s="442" t="s">
        <v>930</v>
      </c>
      <c r="D34" s="441" t="s">
        <v>931</v>
      </c>
      <c r="E34" s="443"/>
      <c r="F34" s="444">
        <f ca="1">YEAR(TODAY())</f>
        <v>2022</v>
      </c>
      <c r="G34" s="444">
        <f ca="1">F34+1</f>
        <v>2023</v>
      </c>
      <c r="H34" s="444">
        <f ca="1">G34+1</f>
        <v>2024</v>
      </c>
      <c r="I34" s="444">
        <f ca="1">H34+1</f>
        <v>2025</v>
      </c>
      <c r="J34" s="444">
        <f ca="1">I34+1</f>
        <v>2026</v>
      </c>
      <c r="K34" s="733" t="s">
        <v>932</v>
      </c>
      <c r="L34" s="445" t="s">
        <v>959</v>
      </c>
      <c r="M34" s="733" t="s">
        <v>960</v>
      </c>
    </row>
    <row r="35" spans="1:13" x14ac:dyDescent="0.25">
      <c r="A35" s="848">
        <v>1</v>
      </c>
      <c r="B35" s="849">
        <v>1</v>
      </c>
      <c r="C35" s="850" t="s">
        <v>935</v>
      </c>
      <c r="D35" s="849">
        <v>11.95</v>
      </c>
      <c r="E35" s="851" t="s">
        <v>936</v>
      </c>
      <c r="F35" s="852" t="s">
        <v>49</v>
      </c>
      <c r="G35" s="852" t="s">
        <v>49</v>
      </c>
      <c r="H35" s="852" t="s">
        <v>49</v>
      </c>
      <c r="I35" s="852" t="s">
        <v>49</v>
      </c>
      <c r="J35" s="852" t="s">
        <v>49</v>
      </c>
      <c r="K35" s="435">
        <v>5</v>
      </c>
      <c r="L35" s="436">
        <f>K35*B35</f>
        <v>5</v>
      </c>
      <c r="M35" s="684">
        <f>K35-L35</f>
        <v>0</v>
      </c>
    </row>
    <row r="36" spans="1:13" x14ac:dyDescent="0.25">
      <c r="A36" s="66"/>
      <c r="B36" s="437"/>
      <c r="C36" s="438"/>
      <c r="D36" s="437"/>
      <c r="E36" s="853"/>
      <c r="F36" s="440"/>
      <c r="G36" s="440"/>
      <c r="H36" s="440"/>
      <c r="I36" s="440"/>
      <c r="J36" s="440"/>
      <c r="K36" s="435"/>
      <c r="L36" s="436"/>
      <c r="M36" s="684"/>
    </row>
    <row r="37" spans="1:13" x14ac:dyDescent="0.25">
      <c r="A37" s="66"/>
      <c r="B37" s="437"/>
      <c r="C37" s="438"/>
      <c r="D37" s="437">
        <v>21.95</v>
      </c>
      <c r="E37" s="853" t="s">
        <v>936</v>
      </c>
      <c r="F37" s="440" t="s">
        <v>49</v>
      </c>
      <c r="G37" s="440" t="s">
        <v>49</v>
      </c>
      <c r="H37" s="440" t="s">
        <v>49</v>
      </c>
      <c r="I37" s="440" t="s">
        <v>49</v>
      </c>
      <c r="J37" s="440" t="s">
        <v>49</v>
      </c>
      <c r="K37" s="435">
        <v>10</v>
      </c>
      <c r="L37" s="436">
        <f>K37*A35</f>
        <v>10</v>
      </c>
      <c r="M37" s="684">
        <f>K37-L37</f>
        <v>0</v>
      </c>
    </row>
    <row r="38" spans="1:13" x14ac:dyDescent="0.25">
      <c r="A38" s="66"/>
      <c r="B38" s="437"/>
      <c r="C38" s="438"/>
      <c r="D38" s="437">
        <v>22.95</v>
      </c>
      <c r="E38" s="853" t="s">
        <v>938</v>
      </c>
      <c r="F38" s="440" t="s">
        <v>49</v>
      </c>
      <c r="G38" s="440" t="s">
        <v>49</v>
      </c>
      <c r="H38" s="440" t="s">
        <v>49</v>
      </c>
      <c r="I38" s="440" t="s">
        <v>49</v>
      </c>
      <c r="J38" s="440" t="s">
        <v>49</v>
      </c>
      <c r="K38" s="435"/>
      <c r="L38" s="436">
        <f>COUNTIF(F37:J38,"Parent A")</f>
        <v>10</v>
      </c>
      <c r="M38" s="684">
        <f>COUNTIF(F37:J38,"Parent B")</f>
        <v>0</v>
      </c>
    </row>
    <row r="39" spans="1:13" x14ac:dyDescent="0.25">
      <c r="A39" s="66"/>
      <c r="B39" s="437"/>
      <c r="C39" s="438"/>
      <c r="D39" s="437"/>
      <c r="E39" s="853"/>
      <c r="F39" s="440"/>
      <c r="G39" s="440"/>
      <c r="H39" s="440"/>
      <c r="I39" s="440"/>
      <c r="J39" s="440"/>
      <c r="K39" s="435"/>
      <c r="L39" s="436"/>
      <c r="M39" s="684"/>
    </row>
    <row r="40" spans="1:13" x14ac:dyDescent="0.25">
      <c r="A40" s="66"/>
      <c r="B40" s="437"/>
      <c r="C40" s="438"/>
      <c r="D40" s="446">
        <v>31.95</v>
      </c>
      <c r="E40" s="446" t="s">
        <v>936</v>
      </c>
      <c r="F40" s="440" t="s">
        <v>49</v>
      </c>
      <c r="G40" s="440" t="s">
        <v>49</v>
      </c>
      <c r="H40" s="440" t="s">
        <v>49</v>
      </c>
      <c r="I40" s="440" t="s">
        <v>49</v>
      </c>
      <c r="J40" s="440" t="s">
        <v>49</v>
      </c>
      <c r="K40" s="435">
        <v>15</v>
      </c>
      <c r="L40" s="436">
        <f>K40*A35</f>
        <v>15</v>
      </c>
      <c r="M40" s="684">
        <f>K40-L40</f>
        <v>0</v>
      </c>
    </row>
    <row r="41" spans="1:13" x14ac:dyDescent="0.25">
      <c r="A41" s="66"/>
      <c r="B41" s="437"/>
      <c r="C41" s="438"/>
      <c r="D41" s="446">
        <v>32.950000000000003</v>
      </c>
      <c r="E41" s="446" t="s">
        <v>938</v>
      </c>
      <c r="F41" s="440" t="s">
        <v>49</v>
      </c>
      <c r="G41" s="440" t="s">
        <v>49</v>
      </c>
      <c r="H41" s="440" t="s">
        <v>49</v>
      </c>
      <c r="I41" s="440" t="s">
        <v>49</v>
      </c>
      <c r="J41" s="440" t="s">
        <v>49</v>
      </c>
      <c r="K41" s="435"/>
      <c r="L41" s="436">
        <f>COUNTIF(F40:J42,"Parent A")</f>
        <v>15</v>
      </c>
      <c r="M41" s="684">
        <f>COUNTIF(F40:J42,"Parent B")</f>
        <v>0</v>
      </c>
    </row>
    <row r="42" spans="1:13" x14ac:dyDescent="0.25">
      <c r="A42" s="66"/>
      <c r="B42" s="437"/>
      <c r="C42" s="438"/>
      <c r="D42" s="446">
        <v>33.950000000000003</v>
      </c>
      <c r="E42" s="446" t="s">
        <v>939</v>
      </c>
      <c r="F42" s="440" t="s">
        <v>49</v>
      </c>
      <c r="G42" s="440" t="s">
        <v>49</v>
      </c>
      <c r="H42" s="440" t="s">
        <v>49</v>
      </c>
      <c r="I42" s="440" t="s">
        <v>49</v>
      </c>
      <c r="J42" s="440" t="s">
        <v>49</v>
      </c>
      <c r="K42" s="435"/>
      <c r="L42" s="436"/>
      <c r="M42" s="684"/>
    </row>
    <row r="43" spans="1:13" x14ac:dyDescent="0.25">
      <c r="A43" s="66"/>
      <c r="B43" s="437"/>
      <c r="C43" s="438"/>
      <c r="D43" s="446"/>
      <c r="E43" s="446"/>
      <c r="F43" s="440"/>
      <c r="G43" s="440"/>
      <c r="H43" s="440"/>
      <c r="I43" s="440"/>
      <c r="J43" s="440"/>
      <c r="K43" s="435"/>
      <c r="L43" s="436"/>
      <c r="M43" s="684"/>
    </row>
    <row r="44" spans="1:13" x14ac:dyDescent="0.25">
      <c r="A44" s="66"/>
      <c r="B44" s="437"/>
      <c r="C44" s="438"/>
      <c r="D44" s="446">
        <v>41.95</v>
      </c>
      <c r="E44" s="446" t="s">
        <v>936</v>
      </c>
      <c r="F44" s="440" t="s">
        <v>49</v>
      </c>
      <c r="G44" s="440" t="s">
        <v>49</v>
      </c>
      <c r="H44" s="440" t="s">
        <v>49</v>
      </c>
      <c r="I44" s="440" t="s">
        <v>49</v>
      </c>
      <c r="J44" s="440" t="s">
        <v>49</v>
      </c>
      <c r="K44" s="435">
        <v>20</v>
      </c>
      <c r="L44" s="436">
        <f>K44*A35</f>
        <v>20</v>
      </c>
      <c r="M44" s="684">
        <f>K44-L44</f>
        <v>0</v>
      </c>
    </row>
    <row r="45" spans="1:13" x14ac:dyDescent="0.25">
      <c r="A45" s="66"/>
      <c r="B45" s="437"/>
      <c r="C45" s="438"/>
      <c r="D45" s="446">
        <v>42.95</v>
      </c>
      <c r="E45" s="446" t="s">
        <v>938</v>
      </c>
      <c r="F45" s="440" t="s">
        <v>49</v>
      </c>
      <c r="G45" s="440" t="s">
        <v>49</v>
      </c>
      <c r="H45" s="440" t="s">
        <v>49</v>
      </c>
      <c r="I45" s="440" t="s">
        <v>49</v>
      </c>
      <c r="J45" s="440" t="s">
        <v>49</v>
      </c>
      <c r="K45" s="435"/>
      <c r="L45" s="436">
        <f>COUNTIF(F44:J47,"Parent A")</f>
        <v>20</v>
      </c>
      <c r="M45" s="684">
        <f>COUNTIF(F44:J47,"Parent B")</f>
        <v>0</v>
      </c>
    </row>
    <row r="46" spans="1:13" x14ac:dyDescent="0.25">
      <c r="A46" s="66"/>
      <c r="B46" s="437"/>
      <c r="C46" s="438"/>
      <c r="D46" s="446">
        <v>43.95</v>
      </c>
      <c r="E46" s="446" t="s">
        <v>939</v>
      </c>
      <c r="F46" s="440" t="s">
        <v>49</v>
      </c>
      <c r="G46" s="440" t="s">
        <v>49</v>
      </c>
      <c r="H46" s="440" t="s">
        <v>49</v>
      </c>
      <c r="I46" s="440" t="s">
        <v>49</v>
      </c>
      <c r="J46" s="440" t="s">
        <v>49</v>
      </c>
      <c r="K46" s="435"/>
      <c r="L46" s="436"/>
      <c r="M46" s="684"/>
    </row>
    <row r="47" spans="1:13" x14ac:dyDescent="0.25">
      <c r="A47" s="66"/>
      <c r="B47" s="437"/>
      <c r="C47" s="438"/>
      <c r="D47" s="446">
        <v>44.95</v>
      </c>
      <c r="E47" s="446" t="s">
        <v>940</v>
      </c>
      <c r="F47" s="440" t="s">
        <v>49</v>
      </c>
      <c r="G47" s="440" t="s">
        <v>49</v>
      </c>
      <c r="H47" s="440" t="s">
        <v>49</v>
      </c>
      <c r="I47" s="440" t="s">
        <v>49</v>
      </c>
      <c r="J47" s="440" t="s">
        <v>49</v>
      </c>
      <c r="K47" s="435"/>
      <c r="L47" s="436"/>
      <c r="M47" s="684"/>
    </row>
    <row r="48" spans="1:13" x14ac:dyDescent="0.25">
      <c r="A48" s="66"/>
      <c r="B48" s="437"/>
      <c r="C48" s="438"/>
      <c r="D48" s="446"/>
      <c r="E48" s="446"/>
      <c r="F48" s="440"/>
      <c r="G48" s="440"/>
      <c r="H48" s="440"/>
      <c r="I48" s="440"/>
      <c r="J48" s="440"/>
      <c r="K48" s="435"/>
      <c r="L48" s="436"/>
      <c r="M48" s="684"/>
    </row>
    <row r="49" spans="1:13" x14ac:dyDescent="0.25">
      <c r="A49" s="66"/>
      <c r="B49" s="437"/>
      <c r="C49" s="438"/>
      <c r="D49" s="446">
        <v>51.95</v>
      </c>
      <c r="E49" s="446" t="s">
        <v>936</v>
      </c>
      <c r="F49" s="440" t="s">
        <v>49</v>
      </c>
      <c r="G49" s="440" t="s">
        <v>49</v>
      </c>
      <c r="H49" s="440" t="s">
        <v>49</v>
      </c>
      <c r="I49" s="440" t="s">
        <v>49</v>
      </c>
      <c r="J49" s="440" t="s">
        <v>49</v>
      </c>
      <c r="K49" s="435">
        <v>25</v>
      </c>
      <c r="L49" s="436">
        <f>K49*A35</f>
        <v>25</v>
      </c>
      <c r="M49" s="684">
        <f>K49-L49</f>
        <v>0</v>
      </c>
    </row>
    <row r="50" spans="1:13" x14ac:dyDescent="0.25">
      <c r="A50" s="66"/>
      <c r="B50" s="437"/>
      <c r="C50" s="438"/>
      <c r="D50" s="446">
        <v>52.95</v>
      </c>
      <c r="E50" s="446" t="s">
        <v>938</v>
      </c>
      <c r="F50" s="440" t="s">
        <v>49</v>
      </c>
      <c r="G50" s="440" t="s">
        <v>49</v>
      </c>
      <c r="H50" s="440" t="s">
        <v>49</v>
      </c>
      <c r="I50" s="440" t="s">
        <v>49</v>
      </c>
      <c r="J50" s="440" t="s">
        <v>49</v>
      </c>
      <c r="K50" s="435"/>
      <c r="L50" s="436">
        <f>COUNTIF(F49:J53,"Parent A")</f>
        <v>25</v>
      </c>
      <c r="M50" s="684">
        <f>COUNTIF(F49:J53,"Parent B")</f>
        <v>0</v>
      </c>
    </row>
    <row r="51" spans="1:13" x14ac:dyDescent="0.25">
      <c r="A51" s="66"/>
      <c r="B51" s="437"/>
      <c r="C51" s="438"/>
      <c r="D51" s="446">
        <v>53.95</v>
      </c>
      <c r="E51" s="446" t="s">
        <v>939</v>
      </c>
      <c r="F51" s="440" t="s">
        <v>49</v>
      </c>
      <c r="G51" s="440" t="s">
        <v>49</v>
      </c>
      <c r="H51" s="440" t="s">
        <v>49</v>
      </c>
      <c r="I51" s="440" t="s">
        <v>49</v>
      </c>
      <c r="J51" s="440" t="s">
        <v>49</v>
      </c>
      <c r="K51" s="435"/>
      <c r="L51" s="436"/>
      <c r="M51" s="684"/>
    </row>
    <row r="52" spans="1:13" x14ac:dyDescent="0.25">
      <c r="A52" s="66"/>
      <c r="B52" s="437"/>
      <c r="C52" s="438"/>
      <c r="D52" s="446">
        <v>54.95</v>
      </c>
      <c r="E52" s="446" t="s">
        <v>940</v>
      </c>
      <c r="F52" s="440" t="s">
        <v>49</v>
      </c>
      <c r="G52" s="440" t="s">
        <v>49</v>
      </c>
      <c r="H52" s="440" t="s">
        <v>49</v>
      </c>
      <c r="I52" s="440" t="s">
        <v>49</v>
      </c>
      <c r="J52" s="440" t="s">
        <v>49</v>
      </c>
      <c r="K52" s="435"/>
      <c r="L52" s="436"/>
      <c r="M52" s="684"/>
    </row>
    <row r="53" spans="1:13" x14ac:dyDescent="0.25">
      <c r="A53" s="66"/>
      <c r="B53" s="437"/>
      <c r="C53" s="438"/>
      <c r="D53" s="446">
        <v>55.95</v>
      </c>
      <c r="E53" s="446" t="s">
        <v>941</v>
      </c>
      <c r="F53" s="440" t="s">
        <v>49</v>
      </c>
      <c r="G53" s="440" t="s">
        <v>49</v>
      </c>
      <c r="H53" s="440" t="s">
        <v>49</v>
      </c>
      <c r="I53" s="440" t="s">
        <v>49</v>
      </c>
      <c r="J53" s="440" t="s">
        <v>49</v>
      </c>
      <c r="K53" s="435"/>
      <c r="L53" s="436"/>
      <c r="M53" s="684"/>
    </row>
    <row r="54" spans="1:13" x14ac:dyDescent="0.25">
      <c r="A54" s="66"/>
      <c r="B54" s="437"/>
      <c r="C54" s="438"/>
      <c r="D54" s="446"/>
      <c r="E54" s="446"/>
      <c r="F54" s="440"/>
      <c r="G54" s="440"/>
      <c r="H54" s="440"/>
      <c r="I54" s="440"/>
      <c r="J54" s="440"/>
      <c r="K54" s="435"/>
      <c r="L54" s="436"/>
      <c r="M54" s="684"/>
    </row>
    <row r="55" spans="1:13" x14ac:dyDescent="0.25">
      <c r="A55" s="66"/>
      <c r="B55" s="437"/>
      <c r="C55" s="438"/>
      <c r="D55" s="446">
        <v>61.95</v>
      </c>
      <c r="E55" s="446" t="s">
        <v>936</v>
      </c>
      <c r="F55" s="440" t="s">
        <v>49</v>
      </c>
      <c r="G55" s="440" t="s">
        <v>49</v>
      </c>
      <c r="H55" s="440" t="s">
        <v>49</v>
      </c>
      <c r="I55" s="440" t="s">
        <v>49</v>
      </c>
      <c r="J55" s="440" t="s">
        <v>49</v>
      </c>
      <c r="K55" s="435">
        <v>30</v>
      </c>
      <c r="L55" s="436">
        <f>K55*A35</f>
        <v>30</v>
      </c>
      <c r="M55" s="684">
        <f>K55-L55</f>
        <v>0</v>
      </c>
    </row>
    <row r="56" spans="1:13" x14ac:dyDescent="0.25">
      <c r="A56" s="66"/>
      <c r="B56" s="437"/>
      <c r="C56" s="438"/>
      <c r="D56" s="446">
        <v>62.95</v>
      </c>
      <c r="E56" s="446" t="s">
        <v>938</v>
      </c>
      <c r="F56" s="440" t="s">
        <v>49</v>
      </c>
      <c r="G56" s="440" t="s">
        <v>49</v>
      </c>
      <c r="H56" s="440" t="s">
        <v>49</v>
      </c>
      <c r="I56" s="440" t="s">
        <v>49</v>
      </c>
      <c r="J56" s="440" t="s">
        <v>49</v>
      </c>
      <c r="K56" s="435"/>
      <c r="L56" s="436">
        <f>COUNTIF(F55:J60,"Parent A")</f>
        <v>30</v>
      </c>
      <c r="M56" s="684">
        <f>COUNTIF(F55:J60,"Parent B")</f>
        <v>0</v>
      </c>
    </row>
    <row r="57" spans="1:13" x14ac:dyDescent="0.25">
      <c r="A57" s="66"/>
      <c r="B57" s="437"/>
      <c r="C57" s="438"/>
      <c r="D57" s="446">
        <v>63.95</v>
      </c>
      <c r="E57" s="446" t="s">
        <v>939</v>
      </c>
      <c r="F57" s="440" t="s">
        <v>49</v>
      </c>
      <c r="G57" s="440" t="s">
        <v>49</v>
      </c>
      <c r="H57" s="440" t="s">
        <v>49</v>
      </c>
      <c r="I57" s="440" t="s">
        <v>49</v>
      </c>
      <c r="J57" s="440" t="s">
        <v>49</v>
      </c>
      <c r="K57" s="435"/>
      <c r="L57" s="436"/>
      <c r="M57" s="684"/>
    </row>
    <row r="58" spans="1:13" x14ac:dyDescent="0.25">
      <c r="A58" s="66"/>
      <c r="B58" s="437"/>
      <c r="C58" s="438"/>
      <c r="D58" s="446">
        <v>64.95</v>
      </c>
      <c r="E58" s="446" t="s">
        <v>940</v>
      </c>
      <c r="F58" s="440" t="s">
        <v>49</v>
      </c>
      <c r="G58" s="440" t="s">
        <v>49</v>
      </c>
      <c r="H58" s="440" t="s">
        <v>49</v>
      </c>
      <c r="I58" s="440" t="s">
        <v>49</v>
      </c>
      <c r="J58" s="440" t="s">
        <v>49</v>
      </c>
      <c r="K58" s="435"/>
      <c r="L58" s="436"/>
      <c r="M58" s="684"/>
    </row>
    <row r="59" spans="1:13" x14ac:dyDescent="0.25">
      <c r="A59" s="66"/>
      <c r="B59" s="437"/>
      <c r="C59" s="438"/>
      <c r="D59" s="446">
        <v>65.95</v>
      </c>
      <c r="E59" s="446" t="s">
        <v>941</v>
      </c>
      <c r="F59" s="440" t="s">
        <v>49</v>
      </c>
      <c r="G59" s="440" t="s">
        <v>49</v>
      </c>
      <c r="H59" s="440" t="s">
        <v>49</v>
      </c>
      <c r="I59" s="440" t="s">
        <v>49</v>
      </c>
      <c r="J59" s="440" t="s">
        <v>49</v>
      </c>
      <c r="K59" s="435"/>
      <c r="L59" s="436"/>
      <c r="M59" s="684"/>
    </row>
    <row r="60" spans="1:13" x14ac:dyDescent="0.25">
      <c r="A60" s="66"/>
      <c r="B60" s="437"/>
      <c r="C60" s="438"/>
      <c r="D60" s="439">
        <v>66.95</v>
      </c>
      <c r="E60" s="439" t="s">
        <v>942</v>
      </c>
      <c r="F60" s="440" t="s">
        <v>49</v>
      </c>
      <c r="G60" s="440" t="s">
        <v>49</v>
      </c>
      <c r="H60" s="440" t="s">
        <v>49</v>
      </c>
      <c r="I60" s="440" t="s">
        <v>49</v>
      </c>
      <c r="J60" s="440" t="s">
        <v>49</v>
      </c>
      <c r="K60" s="66"/>
      <c r="L60" s="432"/>
      <c r="M60" s="624"/>
    </row>
    <row r="61" spans="1:13" x14ac:dyDescent="0.25">
      <c r="A61" s="848"/>
      <c r="B61" s="849"/>
      <c r="C61" s="850"/>
      <c r="D61" s="854"/>
      <c r="E61" s="854"/>
      <c r="F61" s="852"/>
      <c r="G61" s="852"/>
      <c r="H61" s="852"/>
      <c r="I61" s="852"/>
      <c r="J61" s="852"/>
      <c r="K61" s="848"/>
      <c r="L61" s="855"/>
      <c r="M61" s="856"/>
    </row>
    <row r="62" spans="1:13" x14ac:dyDescent="0.25">
      <c r="A62" s="66"/>
      <c r="B62" s="437"/>
      <c r="C62" s="447"/>
      <c r="D62" s="437"/>
      <c r="E62" s="448"/>
      <c r="F62" s="440"/>
      <c r="G62" s="440"/>
      <c r="H62" s="440"/>
      <c r="I62" s="440"/>
      <c r="J62" s="440"/>
      <c r="K62" s="66"/>
      <c r="L62" s="432"/>
      <c r="M62" s="624"/>
    </row>
    <row r="63" spans="1:13" x14ac:dyDescent="0.25">
      <c r="A63" s="449">
        <v>0.8</v>
      </c>
      <c r="B63" s="450">
        <v>0.8</v>
      </c>
      <c r="C63" s="451" t="s">
        <v>943</v>
      </c>
      <c r="D63" s="446">
        <v>11.8</v>
      </c>
      <c r="E63" s="446" t="s">
        <v>936</v>
      </c>
      <c r="F63" s="446" t="s">
        <v>49</v>
      </c>
      <c r="G63" s="450" t="s">
        <v>49</v>
      </c>
      <c r="H63" s="450" t="s">
        <v>49</v>
      </c>
      <c r="I63" s="450" t="s">
        <v>49</v>
      </c>
      <c r="J63" s="450" t="s">
        <v>50</v>
      </c>
      <c r="K63" s="684">
        <v>5</v>
      </c>
      <c r="L63" s="436">
        <f>K63*A63</f>
        <v>4</v>
      </c>
      <c r="M63" s="684">
        <f>K63-L63</f>
        <v>1</v>
      </c>
    </row>
    <row r="64" spans="1:13" x14ac:dyDescent="0.25">
      <c r="A64" s="684"/>
      <c r="B64" s="450"/>
      <c r="C64" s="449"/>
      <c r="D64" s="446"/>
      <c r="E64" s="446"/>
      <c r="F64" s="446"/>
      <c r="G64" s="450"/>
      <c r="H64" s="450"/>
      <c r="I64" s="450"/>
      <c r="J64" s="450"/>
      <c r="K64" s="684"/>
      <c r="L64" s="424"/>
      <c r="M64" s="684"/>
    </row>
    <row r="65" spans="1:13" x14ac:dyDescent="0.25">
      <c r="A65" s="684"/>
      <c r="B65" s="450"/>
      <c r="C65" s="449"/>
      <c r="D65" s="446">
        <v>21.8</v>
      </c>
      <c r="E65" s="446" t="s">
        <v>936</v>
      </c>
      <c r="F65" s="446" t="s">
        <v>49</v>
      </c>
      <c r="G65" s="452" t="s">
        <v>49</v>
      </c>
      <c r="H65" s="450" t="s">
        <v>49</v>
      </c>
      <c r="I65" s="452" t="s">
        <v>49</v>
      </c>
      <c r="J65" s="450" t="s">
        <v>49</v>
      </c>
      <c r="K65" s="684">
        <v>10</v>
      </c>
      <c r="L65" s="436">
        <f>K65*A63</f>
        <v>8</v>
      </c>
      <c r="M65" s="684">
        <f>K65-L65</f>
        <v>2</v>
      </c>
    </row>
    <row r="66" spans="1:13" x14ac:dyDescent="0.25">
      <c r="A66" s="684"/>
      <c r="B66" s="450"/>
      <c r="C66" s="449"/>
      <c r="D66" s="446">
        <v>22.8</v>
      </c>
      <c r="E66" s="446" t="s">
        <v>938</v>
      </c>
      <c r="F66" s="446" t="s">
        <v>49</v>
      </c>
      <c r="G66" s="452" t="s">
        <v>50</v>
      </c>
      <c r="H66" s="450" t="s">
        <v>49</v>
      </c>
      <c r="I66" s="452" t="s">
        <v>50</v>
      </c>
      <c r="J66" s="450" t="s">
        <v>49</v>
      </c>
      <c r="K66" s="684"/>
      <c r="L66" s="424">
        <f>COUNTIF(F65:J66,"Parent A")</f>
        <v>8</v>
      </c>
      <c r="M66" s="684">
        <f>COUNTIF(F65:J66,"Parent B")</f>
        <v>2</v>
      </c>
    </row>
    <row r="67" spans="1:13" x14ac:dyDescent="0.25">
      <c r="A67" s="684"/>
      <c r="B67" s="450"/>
      <c r="C67" s="449"/>
      <c r="D67" s="446"/>
      <c r="E67" s="446"/>
      <c r="F67" s="446"/>
      <c r="G67" s="450"/>
      <c r="H67" s="450"/>
      <c r="I67" s="450"/>
      <c r="J67" s="450"/>
      <c r="K67" s="684"/>
      <c r="L67" s="424"/>
      <c r="M67" s="684"/>
    </row>
    <row r="68" spans="1:13" x14ac:dyDescent="0.25">
      <c r="A68" s="684"/>
      <c r="B68" s="450"/>
      <c r="C68" s="449"/>
      <c r="D68" s="446">
        <v>31.8</v>
      </c>
      <c r="E68" s="446" t="s">
        <v>936</v>
      </c>
      <c r="F68" s="453" t="s">
        <v>49</v>
      </c>
      <c r="G68" s="450" t="s">
        <v>49</v>
      </c>
      <c r="H68" s="453" t="s">
        <v>49</v>
      </c>
      <c r="I68" s="450" t="s">
        <v>49</v>
      </c>
      <c r="J68" s="453" t="s">
        <v>49</v>
      </c>
      <c r="K68" s="684">
        <v>15</v>
      </c>
      <c r="L68" s="424">
        <f>K68*A63</f>
        <v>12</v>
      </c>
      <c r="M68" s="684">
        <f>K68-L68</f>
        <v>3</v>
      </c>
    </row>
    <row r="69" spans="1:13" x14ac:dyDescent="0.25">
      <c r="A69" s="684"/>
      <c r="B69" s="450"/>
      <c r="C69" s="449"/>
      <c r="D69" s="446">
        <v>32.799999999999997</v>
      </c>
      <c r="E69" s="446" t="s">
        <v>938</v>
      </c>
      <c r="F69" s="446" t="s">
        <v>49</v>
      </c>
      <c r="G69" s="450" t="s">
        <v>49</v>
      </c>
      <c r="H69" s="446" t="s">
        <v>49</v>
      </c>
      <c r="I69" s="450" t="s">
        <v>49</v>
      </c>
      <c r="J69" s="446" t="s">
        <v>49</v>
      </c>
      <c r="K69" s="684"/>
      <c r="L69" s="424">
        <f>COUNTIF(F68:J70,"Parent A")</f>
        <v>12</v>
      </c>
      <c r="M69" s="684">
        <f>COUNTIF(F68:J70,"Parent B")</f>
        <v>3</v>
      </c>
    </row>
    <row r="70" spans="1:13" x14ac:dyDescent="0.25">
      <c r="A70" s="684"/>
      <c r="B70" s="450"/>
      <c r="C70" s="449"/>
      <c r="D70" s="446">
        <v>33.799999999999997</v>
      </c>
      <c r="E70" s="446" t="s">
        <v>939</v>
      </c>
      <c r="F70" s="453" t="s">
        <v>50</v>
      </c>
      <c r="G70" s="450" t="s">
        <v>49</v>
      </c>
      <c r="H70" s="453" t="s">
        <v>50</v>
      </c>
      <c r="I70" s="450" t="s">
        <v>49</v>
      </c>
      <c r="J70" s="453" t="s">
        <v>50</v>
      </c>
      <c r="K70" s="684"/>
      <c r="L70" s="424"/>
      <c r="M70" s="684"/>
    </row>
    <row r="71" spans="1:13" x14ac:dyDescent="0.25">
      <c r="A71" s="684"/>
      <c r="B71" s="450"/>
      <c r="C71" s="449"/>
      <c r="D71" s="446"/>
      <c r="E71" s="446"/>
      <c r="F71" s="446"/>
      <c r="G71" s="450"/>
      <c r="H71" s="450"/>
      <c r="I71" s="450"/>
      <c r="J71" s="450"/>
      <c r="K71" s="684"/>
      <c r="L71" s="424"/>
      <c r="M71" s="684"/>
    </row>
    <row r="72" spans="1:13" x14ac:dyDescent="0.25">
      <c r="A72" s="684"/>
      <c r="B72" s="450"/>
      <c r="C72" s="449"/>
      <c r="D72" s="446">
        <v>41.8</v>
      </c>
      <c r="E72" s="446" t="s">
        <v>936</v>
      </c>
      <c r="F72" s="453" t="s">
        <v>49</v>
      </c>
      <c r="G72" s="453" t="s">
        <v>49</v>
      </c>
      <c r="H72" s="452" t="s">
        <v>49</v>
      </c>
      <c r="I72" s="453" t="s">
        <v>49</v>
      </c>
      <c r="J72" s="446" t="s">
        <v>49</v>
      </c>
      <c r="K72" s="684">
        <v>20</v>
      </c>
      <c r="L72" s="424">
        <f>K72*A63</f>
        <v>16</v>
      </c>
      <c r="M72" s="684">
        <f>K72-L72</f>
        <v>4</v>
      </c>
    </row>
    <row r="73" spans="1:13" x14ac:dyDescent="0.25">
      <c r="A73" s="684"/>
      <c r="B73" s="450"/>
      <c r="C73" s="449"/>
      <c r="D73" s="446">
        <v>42.8</v>
      </c>
      <c r="E73" s="446" t="s">
        <v>938</v>
      </c>
      <c r="F73" s="446" t="s">
        <v>49</v>
      </c>
      <c r="G73" s="450" t="s">
        <v>49</v>
      </c>
      <c r="H73" s="446" t="s">
        <v>49</v>
      </c>
      <c r="I73" s="446" t="s">
        <v>49</v>
      </c>
      <c r="J73" s="446" t="s">
        <v>49</v>
      </c>
      <c r="K73" s="684"/>
      <c r="L73" s="424">
        <f>COUNTIF(F72:J75,"Parent A")</f>
        <v>16</v>
      </c>
      <c r="M73" s="684">
        <f>COUNTIF(F72:J75,"Parent B")</f>
        <v>4</v>
      </c>
    </row>
    <row r="74" spans="1:13" x14ac:dyDescent="0.25">
      <c r="A74" s="684"/>
      <c r="B74" s="450"/>
      <c r="C74" s="449"/>
      <c r="D74" s="446">
        <v>43.8</v>
      </c>
      <c r="E74" s="446" t="s">
        <v>939</v>
      </c>
      <c r="F74" s="446" t="s">
        <v>49</v>
      </c>
      <c r="G74" s="450" t="s">
        <v>49</v>
      </c>
      <c r="H74" s="446" t="s">
        <v>49</v>
      </c>
      <c r="I74" s="446" t="s">
        <v>49</v>
      </c>
      <c r="J74" s="446" t="s">
        <v>49</v>
      </c>
      <c r="K74" s="684"/>
      <c r="L74" s="424"/>
      <c r="M74" s="684"/>
    </row>
    <row r="75" spans="1:13" x14ac:dyDescent="0.25">
      <c r="A75" s="684"/>
      <c r="B75" s="450"/>
      <c r="C75" s="449"/>
      <c r="D75" s="446">
        <v>44.8</v>
      </c>
      <c r="E75" s="446" t="s">
        <v>940</v>
      </c>
      <c r="F75" s="453" t="s">
        <v>50</v>
      </c>
      <c r="G75" s="452" t="s">
        <v>50</v>
      </c>
      <c r="H75" s="453" t="s">
        <v>50</v>
      </c>
      <c r="I75" s="453" t="s">
        <v>50</v>
      </c>
      <c r="J75" s="446" t="s">
        <v>49</v>
      </c>
      <c r="K75" s="684"/>
      <c r="L75" s="424"/>
      <c r="M75" s="684"/>
    </row>
    <row r="76" spans="1:13" x14ac:dyDescent="0.25">
      <c r="A76" s="684"/>
      <c r="B76" s="450"/>
      <c r="C76" s="449"/>
      <c r="D76" s="446"/>
      <c r="E76" s="446"/>
      <c r="F76" s="446"/>
      <c r="G76" s="450"/>
      <c r="H76" s="450"/>
      <c r="I76" s="450"/>
      <c r="J76" s="450"/>
      <c r="K76" s="684"/>
      <c r="L76" s="424"/>
      <c r="M76" s="684"/>
    </row>
    <row r="77" spans="1:13" x14ac:dyDescent="0.25">
      <c r="A77" s="684"/>
      <c r="B77" s="450"/>
      <c r="C77" s="449"/>
      <c r="D77" s="446">
        <v>51.8</v>
      </c>
      <c r="E77" s="446" t="s">
        <v>936</v>
      </c>
      <c r="F77" s="446" t="s">
        <v>49</v>
      </c>
      <c r="G77" s="446" t="s">
        <v>49</v>
      </c>
      <c r="H77" s="446" t="s">
        <v>49</v>
      </c>
      <c r="I77" s="446" t="s">
        <v>49</v>
      </c>
      <c r="J77" s="446" t="s">
        <v>49</v>
      </c>
      <c r="K77" s="684">
        <v>25</v>
      </c>
      <c r="L77" s="424">
        <f>K77*A63</f>
        <v>20</v>
      </c>
      <c r="M77" s="684">
        <f>K77-L77</f>
        <v>5</v>
      </c>
    </row>
    <row r="78" spans="1:13" x14ac:dyDescent="0.25">
      <c r="A78" s="684"/>
      <c r="B78" s="450"/>
      <c r="C78" s="449"/>
      <c r="D78" s="446">
        <v>52.8</v>
      </c>
      <c r="E78" s="446" t="s">
        <v>938</v>
      </c>
      <c r="F78" s="446" t="s">
        <v>49</v>
      </c>
      <c r="G78" s="446" t="s">
        <v>49</v>
      </c>
      <c r="H78" s="446" t="s">
        <v>49</v>
      </c>
      <c r="I78" s="446" t="s">
        <v>49</v>
      </c>
      <c r="J78" s="446" t="s">
        <v>49</v>
      </c>
      <c r="K78" s="684"/>
      <c r="L78" s="424">
        <f>COUNTIF(F77:J81,"Parent A")</f>
        <v>20</v>
      </c>
      <c r="M78" s="684">
        <f>COUNTIF(F77:J81,"Parent B")</f>
        <v>5</v>
      </c>
    </row>
    <row r="79" spans="1:13" x14ac:dyDescent="0.25">
      <c r="A79" s="684"/>
      <c r="B79" s="450"/>
      <c r="C79" s="449"/>
      <c r="D79" s="446">
        <v>53.8</v>
      </c>
      <c r="E79" s="446" t="s">
        <v>939</v>
      </c>
      <c r="F79" s="446" t="s">
        <v>50</v>
      </c>
      <c r="G79" s="446" t="s">
        <v>50</v>
      </c>
      <c r="H79" s="446" t="s">
        <v>50</v>
      </c>
      <c r="I79" s="446" t="s">
        <v>50</v>
      </c>
      <c r="J79" s="446" t="s">
        <v>50</v>
      </c>
      <c r="K79" s="684"/>
      <c r="L79" s="424"/>
      <c r="M79" s="684"/>
    </row>
    <row r="80" spans="1:13" x14ac:dyDescent="0.25">
      <c r="A80" s="684"/>
      <c r="B80" s="450"/>
      <c r="C80" s="449"/>
      <c r="D80" s="446">
        <v>54.8</v>
      </c>
      <c r="E80" s="446" t="s">
        <v>940</v>
      </c>
      <c r="F80" s="446" t="s">
        <v>49</v>
      </c>
      <c r="G80" s="446" t="s">
        <v>49</v>
      </c>
      <c r="H80" s="446" t="s">
        <v>49</v>
      </c>
      <c r="I80" s="446" t="s">
        <v>49</v>
      </c>
      <c r="J80" s="446" t="s">
        <v>49</v>
      </c>
      <c r="K80" s="684"/>
      <c r="L80" s="424"/>
      <c r="M80" s="684"/>
    </row>
    <row r="81" spans="1:13" x14ac:dyDescent="0.25">
      <c r="A81" s="684"/>
      <c r="B81" s="450"/>
      <c r="C81" s="449"/>
      <c r="D81" s="446">
        <v>55.8</v>
      </c>
      <c r="E81" s="446" t="s">
        <v>941</v>
      </c>
      <c r="F81" s="446" t="s">
        <v>49</v>
      </c>
      <c r="G81" s="446" t="s">
        <v>49</v>
      </c>
      <c r="H81" s="446" t="s">
        <v>49</v>
      </c>
      <c r="I81" s="446" t="s">
        <v>49</v>
      </c>
      <c r="J81" s="446" t="s">
        <v>49</v>
      </c>
      <c r="K81" s="684"/>
      <c r="L81" s="424"/>
      <c r="M81" s="684"/>
    </row>
    <row r="82" spans="1:13" x14ac:dyDescent="0.25">
      <c r="A82" s="684"/>
      <c r="B82" s="450"/>
      <c r="C82" s="449"/>
      <c r="D82" s="446"/>
      <c r="E82" s="446"/>
      <c r="F82" s="446"/>
      <c r="G82" s="450"/>
      <c r="H82" s="450"/>
      <c r="I82" s="450"/>
      <c r="J82" s="450"/>
      <c r="K82" s="684"/>
      <c r="L82" s="424"/>
      <c r="M82" s="684"/>
    </row>
    <row r="83" spans="1:13" x14ac:dyDescent="0.25">
      <c r="A83" s="684"/>
      <c r="B83" s="450"/>
      <c r="C83" s="449"/>
      <c r="D83" s="446">
        <v>61.8</v>
      </c>
      <c r="E83" s="446" t="s">
        <v>936</v>
      </c>
      <c r="F83" s="446" t="s">
        <v>49</v>
      </c>
      <c r="G83" s="446" t="s">
        <v>49</v>
      </c>
      <c r="H83" s="446" t="s">
        <v>49</v>
      </c>
      <c r="I83" s="446" t="s">
        <v>49</v>
      </c>
      <c r="J83" s="446" t="s">
        <v>49</v>
      </c>
      <c r="K83" s="684">
        <v>30</v>
      </c>
      <c r="L83" s="424">
        <f>K83*A63</f>
        <v>24</v>
      </c>
      <c r="M83" s="684">
        <f>K83-L83</f>
        <v>6</v>
      </c>
    </row>
    <row r="84" spans="1:13" x14ac:dyDescent="0.25">
      <c r="A84" s="684"/>
      <c r="B84" s="450"/>
      <c r="C84" s="449"/>
      <c r="D84" s="446">
        <v>62.8</v>
      </c>
      <c r="E84" s="446" t="s">
        <v>938</v>
      </c>
      <c r="F84" s="446" t="s">
        <v>49</v>
      </c>
      <c r="G84" s="446" t="s">
        <v>49</v>
      </c>
      <c r="H84" s="453" t="s">
        <v>49</v>
      </c>
      <c r="I84" s="446" t="s">
        <v>49</v>
      </c>
      <c r="J84" s="446" t="s">
        <v>49</v>
      </c>
      <c r="K84" s="684"/>
      <c r="L84" s="424">
        <f>COUNTIF(F83:J88,"Parent A")</f>
        <v>24</v>
      </c>
      <c r="M84" s="684">
        <f>COUNTIF(F83:J88,"Parent B")</f>
        <v>6</v>
      </c>
    </row>
    <row r="85" spans="1:13" x14ac:dyDescent="0.25">
      <c r="A85" s="684"/>
      <c r="B85" s="450"/>
      <c r="C85" s="449"/>
      <c r="D85" s="446">
        <v>63.8</v>
      </c>
      <c r="E85" s="446" t="s">
        <v>939</v>
      </c>
      <c r="F85" s="439" t="s">
        <v>50</v>
      </c>
      <c r="G85" s="439" t="s">
        <v>50</v>
      </c>
      <c r="H85" s="439" t="s">
        <v>50</v>
      </c>
      <c r="I85" s="439" t="s">
        <v>50</v>
      </c>
      <c r="J85" s="439" t="s">
        <v>50</v>
      </c>
      <c r="K85" s="684"/>
      <c r="L85" s="424"/>
      <c r="M85" s="684"/>
    </row>
    <row r="86" spans="1:13" x14ac:dyDescent="0.25">
      <c r="A86" s="684"/>
      <c r="B86" s="450"/>
      <c r="C86" s="449"/>
      <c r="D86" s="446">
        <v>64.8</v>
      </c>
      <c r="E86" s="446" t="s">
        <v>940</v>
      </c>
      <c r="F86" s="446" t="s">
        <v>49</v>
      </c>
      <c r="G86" s="446" t="s">
        <v>49</v>
      </c>
      <c r="H86" s="446" t="s">
        <v>49</v>
      </c>
      <c r="I86" s="446" t="s">
        <v>49</v>
      </c>
      <c r="J86" s="446" t="s">
        <v>49</v>
      </c>
      <c r="K86" s="684"/>
      <c r="L86" s="424"/>
      <c r="M86" s="684"/>
    </row>
    <row r="87" spans="1:13" x14ac:dyDescent="0.25">
      <c r="A87" s="684"/>
      <c r="B87" s="450"/>
      <c r="C87" s="449"/>
      <c r="D87" s="446">
        <v>65.8</v>
      </c>
      <c r="E87" s="446" t="s">
        <v>941</v>
      </c>
      <c r="F87" s="446" t="s">
        <v>49</v>
      </c>
      <c r="G87" s="446" t="s">
        <v>49</v>
      </c>
      <c r="H87" s="453" t="s">
        <v>49</v>
      </c>
      <c r="I87" s="446" t="s">
        <v>49</v>
      </c>
      <c r="J87" s="446" t="s">
        <v>49</v>
      </c>
      <c r="K87" s="684"/>
      <c r="L87" s="424"/>
      <c r="M87" s="684"/>
    </row>
    <row r="88" spans="1:13" x14ac:dyDescent="0.25">
      <c r="A88" s="632"/>
      <c r="B88" s="454"/>
      <c r="C88" s="442"/>
      <c r="D88" s="455">
        <v>66.8</v>
      </c>
      <c r="E88" s="455" t="s">
        <v>942</v>
      </c>
      <c r="F88" s="455" t="s">
        <v>49</v>
      </c>
      <c r="G88" s="455" t="s">
        <v>49</v>
      </c>
      <c r="H88" s="456" t="s">
        <v>49</v>
      </c>
      <c r="I88" s="455" t="s">
        <v>49</v>
      </c>
      <c r="J88" s="456" t="s">
        <v>50</v>
      </c>
      <c r="K88" s="632"/>
      <c r="L88" s="457"/>
      <c r="M88" s="632"/>
    </row>
    <row r="89" spans="1:13" x14ac:dyDescent="0.25">
      <c r="A89" s="624"/>
      <c r="B89" s="437"/>
      <c r="C89" s="447"/>
      <c r="D89" s="439"/>
      <c r="E89" s="439"/>
      <c r="F89" s="439"/>
      <c r="G89" s="439"/>
      <c r="H89" s="439"/>
      <c r="I89" s="439"/>
      <c r="J89" s="439"/>
      <c r="K89" s="624"/>
      <c r="L89" s="35"/>
      <c r="M89" s="624"/>
    </row>
    <row r="90" spans="1:13" x14ac:dyDescent="0.25">
      <c r="A90" s="458">
        <v>0.75</v>
      </c>
      <c r="B90" s="450">
        <v>0.75</v>
      </c>
      <c r="C90" s="716" t="s">
        <v>945</v>
      </c>
      <c r="D90" s="446">
        <v>11.75</v>
      </c>
      <c r="E90" s="446" t="s">
        <v>936</v>
      </c>
      <c r="F90" s="446" t="s">
        <v>49</v>
      </c>
      <c r="G90" s="446" t="s">
        <v>49</v>
      </c>
      <c r="H90" s="446" t="s">
        <v>49</v>
      </c>
      <c r="I90" s="446" t="s">
        <v>50</v>
      </c>
      <c r="J90" s="439"/>
      <c r="K90" s="684">
        <v>4</v>
      </c>
      <c r="L90" s="424">
        <f>K90*A90</f>
        <v>3</v>
      </c>
      <c r="M90" s="684">
        <f>K90-L90</f>
        <v>1</v>
      </c>
    </row>
    <row r="91" spans="1:13" x14ac:dyDescent="0.25">
      <c r="A91" s="684"/>
      <c r="B91" s="450"/>
      <c r="C91" s="449"/>
      <c r="D91" s="446"/>
      <c r="E91" s="446"/>
      <c r="F91" s="446"/>
      <c r="G91" s="450"/>
      <c r="H91" s="450"/>
      <c r="I91" s="450"/>
      <c r="J91" s="439"/>
      <c r="K91" s="684"/>
      <c r="L91" s="424"/>
      <c r="M91" s="684"/>
    </row>
    <row r="92" spans="1:13" x14ac:dyDescent="0.25">
      <c r="A92" s="684"/>
      <c r="B92" s="450"/>
      <c r="C92" s="449"/>
      <c r="D92" s="446">
        <v>21.75</v>
      </c>
      <c r="E92" s="446" t="s">
        <v>936</v>
      </c>
      <c r="F92" s="446" t="s">
        <v>49</v>
      </c>
      <c r="G92" s="453" t="s">
        <v>49</v>
      </c>
      <c r="H92" s="446" t="s">
        <v>49</v>
      </c>
      <c r="I92" s="453" t="s">
        <v>49</v>
      </c>
      <c r="J92" s="439"/>
      <c r="K92" s="684">
        <v>8</v>
      </c>
      <c r="L92" s="424">
        <f>K92*A90</f>
        <v>6</v>
      </c>
      <c r="M92" s="684">
        <f>K92-L92</f>
        <v>2</v>
      </c>
    </row>
    <row r="93" spans="1:13" x14ac:dyDescent="0.25">
      <c r="A93" s="684"/>
      <c r="B93" s="450"/>
      <c r="C93" s="449"/>
      <c r="D93" s="446">
        <v>22.75</v>
      </c>
      <c r="E93" s="446" t="s">
        <v>938</v>
      </c>
      <c r="F93" s="446" t="s">
        <v>49</v>
      </c>
      <c r="G93" s="453" t="s">
        <v>50</v>
      </c>
      <c r="H93" s="446" t="s">
        <v>49</v>
      </c>
      <c r="I93" s="453" t="s">
        <v>50</v>
      </c>
      <c r="J93" s="439"/>
      <c r="K93" s="684"/>
      <c r="L93" s="424">
        <f>COUNTIF(F92:I93,"Parent A")</f>
        <v>6</v>
      </c>
      <c r="M93" s="684">
        <f>COUNTIF(F92:I93,"Parent B")</f>
        <v>2</v>
      </c>
    </row>
    <row r="94" spans="1:13" x14ac:dyDescent="0.25">
      <c r="A94" s="684"/>
      <c r="B94" s="450"/>
      <c r="C94" s="449"/>
      <c r="D94" s="446"/>
      <c r="E94" s="446"/>
      <c r="F94" s="446"/>
      <c r="G94" s="450"/>
      <c r="H94" s="450"/>
      <c r="I94" s="450"/>
      <c r="J94" s="439"/>
      <c r="K94" s="684"/>
      <c r="L94" s="424"/>
      <c r="M94" s="684"/>
    </row>
    <row r="95" spans="1:13" x14ac:dyDescent="0.25">
      <c r="A95" s="684"/>
      <c r="B95" s="450"/>
      <c r="C95" s="449"/>
      <c r="D95" s="446">
        <v>31.75</v>
      </c>
      <c r="E95" s="446" t="s">
        <v>936</v>
      </c>
      <c r="F95" s="446" t="s">
        <v>49</v>
      </c>
      <c r="G95" s="450" t="s">
        <v>49</v>
      </c>
      <c r="H95" s="450" t="s">
        <v>49</v>
      </c>
      <c r="I95" s="450" t="s">
        <v>49</v>
      </c>
      <c r="J95" s="439"/>
      <c r="K95" s="684">
        <v>12</v>
      </c>
      <c r="L95" s="424">
        <f>K95*A90</f>
        <v>9</v>
      </c>
      <c r="M95" s="684">
        <f>K95-L95</f>
        <v>3</v>
      </c>
    </row>
    <row r="96" spans="1:13" x14ac:dyDescent="0.25">
      <c r="A96" s="684"/>
      <c r="B96" s="450"/>
      <c r="C96" s="449"/>
      <c r="D96" s="446">
        <v>32.75</v>
      </c>
      <c r="E96" s="446" t="s">
        <v>938</v>
      </c>
      <c r="F96" s="446" t="s">
        <v>49</v>
      </c>
      <c r="G96" s="450" t="s">
        <v>49</v>
      </c>
      <c r="H96" s="450" t="s">
        <v>49</v>
      </c>
      <c r="I96" s="450" t="s">
        <v>49</v>
      </c>
      <c r="J96" s="439"/>
      <c r="K96" s="684"/>
      <c r="L96" s="424">
        <f>COUNTIF(F95:I97,"Parent A")</f>
        <v>9</v>
      </c>
      <c r="M96" s="684">
        <f>COUNTIF(F95:I97,"Parent B")</f>
        <v>3</v>
      </c>
    </row>
    <row r="97" spans="1:13" x14ac:dyDescent="0.25">
      <c r="A97" s="684"/>
      <c r="B97" s="450"/>
      <c r="C97" s="449"/>
      <c r="D97" s="446">
        <v>33.75</v>
      </c>
      <c r="E97" s="446" t="s">
        <v>939</v>
      </c>
      <c r="F97" s="446" t="s">
        <v>50</v>
      </c>
      <c r="G97" s="446" t="s">
        <v>50</v>
      </c>
      <c r="H97" s="446" t="s">
        <v>50</v>
      </c>
      <c r="I97" s="446" t="s">
        <v>49</v>
      </c>
      <c r="J97" s="439"/>
      <c r="K97" s="684"/>
      <c r="L97" s="424"/>
      <c r="M97" s="684"/>
    </row>
    <row r="98" spans="1:13" x14ac:dyDescent="0.25">
      <c r="A98" s="684"/>
      <c r="B98" s="450"/>
      <c r="C98" s="449"/>
      <c r="D98" s="446"/>
      <c r="E98" s="446"/>
      <c r="F98" s="446"/>
      <c r="G98" s="450"/>
      <c r="H98" s="450"/>
      <c r="I98" s="450"/>
      <c r="J98" s="439"/>
      <c r="K98" s="684"/>
      <c r="L98" s="424"/>
      <c r="M98" s="684"/>
    </row>
    <row r="99" spans="1:13" x14ac:dyDescent="0.25">
      <c r="A99" s="684"/>
      <c r="B99" s="450"/>
      <c r="C99" s="449"/>
      <c r="D99" s="446">
        <v>41.75</v>
      </c>
      <c r="E99" s="446" t="s">
        <v>936</v>
      </c>
      <c r="F99" s="450" t="s">
        <v>49</v>
      </c>
      <c r="G99" s="450" t="s">
        <v>49</v>
      </c>
      <c r="H99" s="450" t="s">
        <v>49</v>
      </c>
      <c r="I99" s="450" t="s">
        <v>49</v>
      </c>
      <c r="J99" s="439"/>
      <c r="K99" s="684">
        <v>16</v>
      </c>
      <c r="L99" s="424">
        <f>K99*A90</f>
        <v>12</v>
      </c>
      <c r="M99" s="684">
        <f>K99-L99</f>
        <v>4</v>
      </c>
    </row>
    <row r="100" spans="1:13" x14ac:dyDescent="0.25">
      <c r="A100" s="684"/>
      <c r="B100" s="450"/>
      <c r="C100" s="449"/>
      <c r="D100" s="446">
        <v>42.75</v>
      </c>
      <c r="E100" s="446" t="s">
        <v>938</v>
      </c>
      <c r="F100" s="450" t="s">
        <v>49</v>
      </c>
      <c r="G100" s="450" t="s">
        <v>49</v>
      </c>
      <c r="H100" s="450" t="s">
        <v>49</v>
      </c>
      <c r="I100" s="450" t="s">
        <v>49</v>
      </c>
      <c r="J100" s="437"/>
      <c r="K100" s="684"/>
      <c r="L100" s="424">
        <f>COUNTIF(F99:I102,"Parent A")</f>
        <v>12</v>
      </c>
      <c r="M100" s="684">
        <f>COUNTIF(F99:I102,"Parent B")</f>
        <v>4</v>
      </c>
    </row>
    <row r="101" spans="1:13" x14ac:dyDescent="0.25">
      <c r="A101" s="684"/>
      <c r="B101" s="450"/>
      <c r="C101" s="449"/>
      <c r="D101" s="446">
        <v>43.75</v>
      </c>
      <c r="E101" s="446" t="s">
        <v>939</v>
      </c>
      <c r="F101" s="450" t="s">
        <v>49</v>
      </c>
      <c r="G101" s="450" t="s">
        <v>49</v>
      </c>
      <c r="H101" s="450" t="s">
        <v>49</v>
      </c>
      <c r="I101" s="450" t="s">
        <v>49</v>
      </c>
      <c r="J101" s="437"/>
      <c r="K101" s="684"/>
      <c r="L101" s="424"/>
      <c r="M101" s="684"/>
    </row>
    <row r="102" spans="1:13" x14ac:dyDescent="0.25">
      <c r="A102" s="684"/>
      <c r="B102" s="450"/>
      <c r="C102" s="449"/>
      <c r="D102" s="446">
        <v>44.75</v>
      </c>
      <c r="E102" s="446" t="s">
        <v>940</v>
      </c>
      <c r="F102" s="446" t="s">
        <v>50</v>
      </c>
      <c r="G102" s="446" t="s">
        <v>50</v>
      </c>
      <c r="H102" s="446" t="s">
        <v>50</v>
      </c>
      <c r="I102" s="446" t="s">
        <v>50</v>
      </c>
      <c r="J102" s="439"/>
      <c r="K102" s="684"/>
      <c r="L102" s="424"/>
      <c r="M102" s="684"/>
    </row>
    <row r="103" spans="1:13" x14ac:dyDescent="0.25">
      <c r="A103" s="684"/>
      <c r="B103" s="450"/>
      <c r="C103" s="449"/>
      <c r="D103" s="446"/>
      <c r="E103" s="446"/>
      <c r="F103" s="446"/>
      <c r="G103" s="450"/>
      <c r="H103" s="450"/>
      <c r="I103" s="450"/>
      <c r="J103" s="439"/>
      <c r="K103" s="684"/>
      <c r="L103" s="424"/>
      <c r="M103" s="684"/>
    </row>
    <row r="104" spans="1:13" x14ac:dyDescent="0.25">
      <c r="A104" s="684"/>
      <c r="B104" s="450"/>
      <c r="C104" s="449"/>
      <c r="D104" s="446">
        <v>51.75</v>
      </c>
      <c r="E104" s="446" t="s">
        <v>936</v>
      </c>
      <c r="F104" s="446" t="s">
        <v>49</v>
      </c>
      <c r="G104" s="446" t="s">
        <v>49</v>
      </c>
      <c r="H104" s="446" t="s">
        <v>49</v>
      </c>
      <c r="I104" s="446" t="s">
        <v>49</v>
      </c>
      <c r="J104" s="439"/>
      <c r="K104" s="684">
        <v>20</v>
      </c>
      <c r="L104" s="424">
        <f>K104*A90</f>
        <v>15</v>
      </c>
      <c r="M104" s="684">
        <f>K104-L104</f>
        <v>5</v>
      </c>
    </row>
    <row r="105" spans="1:13" x14ac:dyDescent="0.25">
      <c r="A105" s="684"/>
      <c r="B105" s="450"/>
      <c r="C105" s="449"/>
      <c r="D105" s="446">
        <v>52.75</v>
      </c>
      <c r="E105" s="446" t="s">
        <v>938</v>
      </c>
      <c r="F105" s="446" t="s">
        <v>49</v>
      </c>
      <c r="G105" s="446" t="s">
        <v>49</v>
      </c>
      <c r="H105" s="446" t="s">
        <v>49</v>
      </c>
      <c r="I105" s="453" t="s">
        <v>49</v>
      </c>
      <c r="J105" s="439"/>
      <c r="K105" s="684"/>
      <c r="L105" s="424">
        <f>COUNTIF(F104:I108,"Parent A")</f>
        <v>15</v>
      </c>
      <c r="M105" s="684">
        <f>COUNTIF(F104:I108,"Parent B")</f>
        <v>5</v>
      </c>
    </row>
    <row r="106" spans="1:13" x14ac:dyDescent="0.25">
      <c r="A106" s="684"/>
      <c r="B106" s="450"/>
      <c r="C106" s="449"/>
      <c r="D106" s="446">
        <v>53.75</v>
      </c>
      <c r="E106" s="446" t="s">
        <v>939</v>
      </c>
      <c r="F106" s="446" t="s">
        <v>49</v>
      </c>
      <c r="G106" s="446" t="s">
        <v>49</v>
      </c>
      <c r="H106" s="446" t="s">
        <v>49</v>
      </c>
      <c r="I106" s="446" t="s">
        <v>49</v>
      </c>
      <c r="J106" s="439"/>
      <c r="K106" s="684"/>
      <c r="L106" s="424"/>
      <c r="M106" s="684"/>
    </row>
    <row r="107" spans="1:13" x14ac:dyDescent="0.25">
      <c r="A107" s="684"/>
      <c r="B107" s="450"/>
      <c r="C107" s="449"/>
      <c r="D107" s="446">
        <v>54.75</v>
      </c>
      <c r="E107" s="446" t="s">
        <v>940</v>
      </c>
      <c r="F107" s="453" t="s">
        <v>50</v>
      </c>
      <c r="G107" s="446" t="s">
        <v>49</v>
      </c>
      <c r="H107" s="446" t="s">
        <v>49</v>
      </c>
      <c r="I107" s="453" t="s">
        <v>49</v>
      </c>
      <c r="J107" s="439"/>
      <c r="K107" s="684"/>
      <c r="L107" s="424"/>
      <c r="M107" s="684"/>
    </row>
    <row r="108" spans="1:13" x14ac:dyDescent="0.25">
      <c r="A108" s="684"/>
      <c r="B108" s="450"/>
      <c r="C108" s="449"/>
      <c r="D108" s="446">
        <v>55.75</v>
      </c>
      <c r="E108" s="446" t="s">
        <v>941</v>
      </c>
      <c r="F108" s="446" t="s">
        <v>50</v>
      </c>
      <c r="G108" s="446" t="s">
        <v>50</v>
      </c>
      <c r="H108" s="446" t="s">
        <v>50</v>
      </c>
      <c r="I108" s="446" t="s">
        <v>50</v>
      </c>
      <c r="J108" s="439"/>
      <c r="K108" s="684"/>
      <c r="L108" s="424"/>
      <c r="M108" s="684"/>
    </row>
    <row r="109" spans="1:13" x14ac:dyDescent="0.25">
      <c r="A109" s="684"/>
      <c r="B109" s="450"/>
      <c r="C109" s="449"/>
      <c r="D109" s="446"/>
      <c r="E109" s="446"/>
      <c r="F109" s="446"/>
      <c r="G109" s="450"/>
      <c r="H109" s="450"/>
      <c r="I109" s="450"/>
      <c r="J109" s="439"/>
      <c r="K109" s="684"/>
      <c r="L109" s="424"/>
      <c r="M109" s="684"/>
    </row>
    <row r="110" spans="1:13" x14ac:dyDescent="0.25">
      <c r="A110" s="684"/>
      <c r="B110" s="450"/>
      <c r="C110" s="449"/>
      <c r="D110" s="446">
        <v>61.75</v>
      </c>
      <c r="E110" s="446" t="s">
        <v>936</v>
      </c>
      <c r="F110" s="446" t="s">
        <v>49</v>
      </c>
      <c r="G110" s="446" t="s">
        <v>49</v>
      </c>
      <c r="H110" s="446" t="s">
        <v>49</v>
      </c>
      <c r="I110" s="446" t="s">
        <v>49</v>
      </c>
      <c r="J110" s="439"/>
      <c r="K110" s="684">
        <v>24</v>
      </c>
      <c r="L110" s="424">
        <f>K110*A90</f>
        <v>18</v>
      </c>
      <c r="M110" s="684">
        <f>K110-L110</f>
        <v>6</v>
      </c>
    </row>
    <row r="111" spans="1:13" x14ac:dyDescent="0.25">
      <c r="A111" s="684"/>
      <c r="B111" s="450"/>
      <c r="C111" s="449"/>
      <c r="D111" s="446">
        <v>62.75</v>
      </c>
      <c r="E111" s="446" t="s">
        <v>938</v>
      </c>
      <c r="F111" s="453" t="s">
        <v>49</v>
      </c>
      <c r="G111" s="446" t="s">
        <v>49</v>
      </c>
      <c r="H111" s="453" t="s">
        <v>49</v>
      </c>
      <c r="I111" s="446" t="s">
        <v>49</v>
      </c>
      <c r="J111" s="439"/>
      <c r="K111" s="684"/>
      <c r="L111" s="424">
        <f>COUNTIF(F110:I115,"Parent A")</f>
        <v>18</v>
      </c>
      <c r="M111" s="684">
        <f>COUNTIF(F110:I115,"Parent B")</f>
        <v>6</v>
      </c>
    </row>
    <row r="112" spans="1:13" x14ac:dyDescent="0.25">
      <c r="A112" s="684"/>
      <c r="B112" s="450"/>
      <c r="C112" s="449"/>
      <c r="D112" s="446">
        <v>63.75</v>
      </c>
      <c r="E112" s="446" t="s">
        <v>939</v>
      </c>
      <c r="F112" s="446" t="s">
        <v>49</v>
      </c>
      <c r="G112" s="446" t="s">
        <v>49</v>
      </c>
      <c r="H112" s="446" t="s">
        <v>49</v>
      </c>
      <c r="I112" s="446" t="s">
        <v>49</v>
      </c>
      <c r="J112" s="439"/>
      <c r="K112" s="684"/>
      <c r="L112" s="424"/>
      <c r="M112" s="684"/>
    </row>
    <row r="113" spans="1:13" x14ac:dyDescent="0.25">
      <c r="A113" s="684"/>
      <c r="B113" s="450"/>
      <c r="C113" s="449"/>
      <c r="D113" s="446">
        <v>64.75</v>
      </c>
      <c r="E113" s="446" t="s">
        <v>940</v>
      </c>
      <c r="F113" s="446" t="s">
        <v>49</v>
      </c>
      <c r="G113" s="446" t="s">
        <v>49</v>
      </c>
      <c r="H113" s="446" t="s">
        <v>49</v>
      </c>
      <c r="I113" s="446" t="s">
        <v>49</v>
      </c>
      <c r="J113" s="439"/>
      <c r="K113" s="684"/>
      <c r="L113" s="424"/>
      <c r="M113" s="684"/>
    </row>
    <row r="114" spans="1:13" x14ac:dyDescent="0.25">
      <c r="A114" s="684"/>
      <c r="B114" s="450"/>
      <c r="C114" s="449"/>
      <c r="D114" s="446">
        <v>65.75</v>
      </c>
      <c r="E114" s="446" t="s">
        <v>941</v>
      </c>
      <c r="F114" s="453" t="s">
        <v>50</v>
      </c>
      <c r="G114" s="446" t="s">
        <v>49</v>
      </c>
      <c r="H114" s="453" t="s">
        <v>50</v>
      </c>
      <c r="I114" s="446" t="s">
        <v>49</v>
      </c>
      <c r="J114" s="439"/>
      <c r="K114" s="684"/>
      <c r="L114" s="424"/>
      <c r="M114" s="684"/>
    </row>
    <row r="115" spans="1:13" x14ac:dyDescent="0.25">
      <c r="A115" s="632"/>
      <c r="B115" s="454"/>
      <c r="C115" s="442"/>
      <c r="D115" s="455">
        <v>66.75</v>
      </c>
      <c r="E115" s="455" t="s">
        <v>942</v>
      </c>
      <c r="F115" s="455" t="s">
        <v>50</v>
      </c>
      <c r="G115" s="455" t="s">
        <v>50</v>
      </c>
      <c r="H115" s="455" t="s">
        <v>50</v>
      </c>
      <c r="I115" s="446" t="s">
        <v>50</v>
      </c>
      <c r="J115" s="455"/>
      <c r="K115" s="632"/>
      <c r="L115" s="457"/>
      <c r="M115" s="632"/>
    </row>
    <row r="116" spans="1:13" x14ac:dyDescent="0.25">
      <c r="A116" s="684"/>
      <c r="B116" s="450"/>
      <c r="C116" s="449"/>
      <c r="D116" s="446"/>
      <c r="E116" s="446"/>
      <c r="F116" s="446"/>
      <c r="G116" s="450"/>
      <c r="H116" s="450"/>
      <c r="I116" s="857"/>
      <c r="J116" s="857"/>
      <c r="K116" s="684"/>
      <c r="L116" s="424"/>
      <c r="M116" s="684"/>
    </row>
    <row r="117" spans="1:13" x14ac:dyDescent="0.25">
      <c r="A117" s="458">
        <v>0.66666666666666663</v>
      </c>
      <c r="B117" s="450">
        <v>0.66666666666666663</v>
      </c>
      <c r="C117" s="716" t="s">
        <v>946</v>
      </c>
      <c r="D117" s="446">
        <v>11.7</v>
      </c>
      <c r="E117" s="446" t="s">
        <v>936</v>
      </c>
      <c r="F117" s="446" t="s">
        <v>49</v>
      </c>
      <c r="G117" s="452" t="s">
        <v>50</v>
      </c>
      <c r="H117" s="452" t="s">
        <v>49</v>
      </c>
      <c r="I117" s="439"/>
      <c r="J117" s="437"/>
      <c r="K117" s="684">
        <v>3</v>
      </c>
      <c r="L117" s="424">
        <f>K117*A117</f>
        <v>2</v>
      </c>
      <c r="M117" s="684">
        <f>K117-L117</f>
        <v>1</v>
      </c>
    </row>
    <row r="118" spans="1:13" x14ac:dyDescent="0.25">
      <c r="A118" s="684"/>
      <c r="B118" s="450"/>
      <c r="C118" s="449"/>
      <c r="D118" s="446"/>
      <c r="E118" s="446"/>
      <c r="F118" s="446"/>
      <c r="G118" s="450"/>
      <c r="H118" s="450"/>
      <c r="I118" s="439"/>
      <c r="J118" s="437"/>
      <c r="K118" s="684"/>
      <c r="L118" s="424"/>
      <c r="M118" s="684"/>
    </row>
    <row r="119" spans="1:13" x14ac:dyDescent="0.25">
      <c r="A119" s="684"/>
      <c r="B119" s="450"/>
      <c r="C119" s="449"/>
      <c r="D119" s="446">
        <v>21.7</v>
      </c>
      <c r="E119" s="446" t="s">
        <v>936</v>
      </c>
      <c r="F119" s="453" t="s">
        <v>49</v>
      </c>
      <c r="G119" s="450" t="s">
        <v>49</v>
      </c>
      <c r="H119" s="452" t="s">
        <v>49</v>
      </c>
      <c r="I119" s="439"/>
      <c r="J119" s="437"/>
      <c r="K119" s="684">
        <v>6</v>
      </c>
      <c r="L119" s="424">
        <f>K119*A117</f>
        <v>4</v>
      </c>
      <c r="M119" s="684">
        <f>K119-L119</f>
        <v>2</v>
      </c>
    </row>
    <row r="120" spans="1:13" x14ac:dyDescent="0.25">
      <c r="A120" s="684"/>
      <c r="B120" s="450"/>
      <c r="C120" s="449"/>
      <c r="D120" s="446">
        <v>22.7</v>
      </c>
      <c r="E120" s="446" t="s">
        <v>938</v>
      </c>
      <c r="F120" s="453" t="s">
        <v>50</v>
      </c>
      <c r="G120" s="452" t="s">
        <v>49</v>
      </c>
      <c r="H120" s="452" t="s">
        <v>50</v>
      </c>
      <c r="I120" s="439"/>
      <c r="J120" s="437"/>
      <c r="K120" s="684"/>
      <c r="L120" s="459">
        <f>COUNTIF(F119:H120,"Parent A")</f>
        <v>4</v>
      </c>
      <c r="M120" s="684">
        <f>COUNTIF(F119:H120,"Parent B")</f>
        <v>2</v>
      </c>
    </row>
    <row r="121" spans="1:13" x14ac:dyDescent="0.25">
      <c r="A121" s="684"/>
      <c r="B121" s="450"/>
      <c r="C121" s="449"/>
      <c r="D121" s="446"/>
      <c r="E121" s="446"/>
      <c r="F121" s="446"/>
      <c r="G121" s="450"/>
      <c r="H121" s="450"/>
      <c r="I121" s="439"/>
      <c r="J121" s="437"/>
      <c r="K121" s="684"/>
      <c r="L121" s="424"/>
      <c r="M121" s="684"/>
    </row>
    <row r="122" spans="1:13" x14ac:dyDescent="0.25">
      <c r="A122" s="684"/>
      <c r="B122" s="450"/>
      <c r="C122" s="449"/>
      <c r="D122" s="446">
        <v>31.7</v>
      </c>
      <c r="E122" s="446" t="s">
        <v>936</v>
      </c>
      <c r="F122" s="446" t="s">
        <v>49</v>
      </c>
      <c r="G122" s="446" t="s">
        <v>49</v>
      </c>
      <c r="H122" s="446" t="s">
        <v>49</v>
      </c>
      <c r="I122" s="439"/>
      <c r="J122" s="439"/>
      <c r="K122" s="684">
        <v>9</v>
      </c>
      <c r="L122" s="424">
        <f>K122*A117</f>
        <v>6</v>
      </c>
      <c r="M122" s="684">
        <f>K122-L122</f>
        <v>3</v>
      </c>
    </row>
    <row r="123" spans="1:13" x14ac:dyDescent="0.25">
      <c r="A123" s="684"/>
      <c r="B123" s="450"/>
      <c r="C123" s="449"/>
      <c r="D123" s="446">
        <v>32.700000000000003</v>
      </c>
      <c r="E123" s="446" t="s">
        <v>938</v>
      </c>
      <c r="F123" s="446" t="s">
        <v>50</v>
      </c>
      <c r="G123" s="446" t="s">
        <v>50</v>
      </c>
      <c r="H123" s="446" t="s">
        <v>50</v>
      </c>
      <c r="I123" s="439"/>
      <c r="J123" s="439"/>
      <c r="K123" s="684"/>
      <c r="L123" s="459">
        <f>COUNTIF(F122:H124,"Parent A")</f>
        <v>6</v>
      </c>
      <c r="M123" s="684">
        <f>COUNTIF(F122:H124,"Parent B")</f>
        <v>3</v>
      </c>
    </row>
    <row r="124" spans="1:13" x14ac:dyDescent="0.25">
      <c r="A124" s="684"/>
      <c r="B124" s="450"/>
      <c r="C124" s="449"/>
      <c r="D124" s="446">
        <v>33.700000000000003</v>
      </c>
      <c r="E124" s="446" t="s">
        <v>939</v>
      </c>
      <c r="F124" s="446" t="s">
        <v>49</v>
      </c>
      <c r="G124" s="446" t="s">
        <v>49</v>
      </c>
      <c r="H124" s="446" t="s">
        <v>49</v>
      </c>
      <c r="I124" s="439"/>
      <c r="J124" s="439"/>
      <c r="K124" s="684"/>
      <c r="L124" s="424"/>
      <c r="M124" s="684"/>
    </row>
    <row r="125" spans="1:13" x14ac:dyDescent="0.25">
      <c r="A125" s="684"/>
      <c r="B125" s="450"/>
      <c r="C125" s="449"/>
      <c r="D125" s="446"/>
      <c r="E125" s="446"/>
      <c r="F125" s="446"/>
      <c r="G125" s="450"/>
      <c r="H125" s="450"/>
      <c r="I125" s="439"/>
      <c r="J125" s="437"/>
      <c r="K125" s="684"/>
      <c r="L125" s="424"/>
      <c r="M125" s="684"/>
    </row>
    <row r="126" spans="1:13" x14ac:dyDescent="0.25">
      <c r="A126" s="684"/>
      <c r="B126" s="450"/>
      <c r="C126" s="449"/>
      <c r="D126" s="446">
        <v>41.7</v>
      </c>
      <c r="E126" s="446" t="s">
        <v>936</v>
      </c>
      <c r="F126" s="453" t="s">
        <v>49</v>
      </c>
      <c r="G126" s="453" t="s">
        <v>49</v>
      </c>
      <c r="H126" s="446" t="s">
        <v>49</v>
      </c>
      <c r="I126" s="439"/>
      <c r="J126" s="439"/>
      <c r="K126" s="684">
        <v>12</v>
      </c>
      <c r="L126" s="424">
        <f>K126*A117</f>
        <v>8</v>
      </c>
      <c r="M126" s="684">
        <f>K126-L126</f>
        <v>4</v>
      </c>
    </row>
    <row r="127" spans="1:13" x14ac:dyDescent="0.25">
      <c r="A127" s="684"/>
      <c r="B127" s="450"/>
      <c r="C127" s="449"/>
      <c r="D127" s="446">
        <v>42.7</v>
      </c>
      <c r="E127" s="446" t="s">
        <v>938</v>
      </c>
      <c r="F127" s="446" t="s">
        <v>50</v>
      </c>
      <c r="G127" s="446" t="s">
        <v>50</v>
      </c>
      <c r="H127" s="446" t="s">
        <v>50</v>
      </c>
      <c r="I127" s="439"/>
      <c r="J127" s="439"/>
      <c r="K127" s="684"/>
      <c r="L127" s="459">
        <f>COUNTIF(F126:H129,"Parent A")</f>
        <v>8</v>
      </c>
      <c r="M127" s="684">
        <f>COUNTIF(F126:H129,"Parent B")</f>
        <v>4</v>
      </c>
    </row>
    <row r="128" spans="1:13" x14ac:dyDescent="0.25">
      <c r="A128" s="684"/>
      <c r="B128" s="450"/>
      <c r="C128" s="449"/>
      <c r="D128" s="446">
        <v>43.7</v>
      </c>
      <c r="E128" s="446" t="s">
        <v>939</v>
      </c>
      <c r="F128" s="446" t="s">
        <v>49</v>
      </c>
      <c r="G128" s="453" t="s">
        <v>49</v>
      </c>
      <c r="H128" s="453" t="s">
        <v>49</v>
      </c>
      <c r="I128" s="439"/>
      <c r="J128" s="439"/>
      <c r="K128" s="684"/>
      <c r="L128" s="424"/>
      <c r="M128" s="684"/>
    </row>
    <row r="129" spans="1:13" x14ac:dyDescent="0.25">
      <c r="A129" s="684"/>
      <c r="B129" s="450"/>
      <c r="C129" s="449"/>
      <c r="D129" s="446">
        <v>44.7</v>
      </c>
      <c r="E129" s="446" t="s">
        <v>940</v>
      </c>
      <c r="F129" s="446" t="s">
        <v>49</v>
      </c>
      <c r="G129" s="452" t="s">
        <v>50</v>
      </c>
      <c r="H129" s="452" t="s">
        <v>49</v>
      </c>
      <c r="I129" s="439"/>
      <c r="J129" s="439"/>
      <c r="K129" s="684"/>
      <c r="L129" s="424"/>
      <c r="M129" s="684"/>
    </row>
    <row r="130" spans="1:13" x14ac:dyDescent="0.25">
      <c r="A130" s="684"/>
      <c r="B130" s="450"/>
      <c r="C130" s="449"/>
      <c r="D130" s="446"/>
      <c r="E130" s="446"/>
      <c r="F130" s="446"/>
      <c r="G130" s="450"/>
      <c r="H130" s="450"/>
      <c r="I130" s="439"/>
      <c r="J130" s="437"/>
      <c r="K130" s="684"/>
      <c r="L130" s="424"/>
      <c r="M130" s="684"/>
    </row>
    <row r="131" spans="1:13" x14ac:dyDescent="0.25">
      <c r="A131" s="684"/>
      <c r="B131" s="450"/>
      <c r="C131" s="449"/>
      <c r="D131" s="446">
        <v>51.7</v>
      </c>
      <c r="E131" s="446" t="s">
        <v>936</v>
      </c>
      <c r="F131" s="446" t="s">
        <v>49</v>
      </c>
      <c r="G131" s="446" t="s">
        <v>49</v>
      </c>
      <c r="H131" s="446" t="s">
        <v>49</v>
      </c>
      <c r="I131" s="439"/>
      <c r="J131" s="439"/>
      <c r="K131" s="684">
        <v>15</v>
      </c>
      <c r="L131" s="424">
        <f>K131*A117</f>
        <v>10</v>
      </c>
      <c r="M131" s="684">
        <f>K131-L131</f>
        <v>5</v>
      </c>
    </row>
    <row r="132" spans="1:13" x14ac:dyDescent="0.25">
      <c r="A132" s="684"/>
      <c r="B132" s="450"/>
      <c r="C132" s="449"/>
      <c r="D132" s="446">
        <v>52.7</v>
      </c>
      <c r="E132" s="446" t="s">
        <v>938</v>
      </c>
      <c r="F132" s="446" t="s">
        <v>50</v>
      </c>
      <c r="G132" s="446" t="s">
        <v>50</v>
      </c>
      <c r="H132" s="446" t="s">
        <v>50</v>
      </c>
      <c r="I132" s="439"/>
      <c r="J132" s="439"/>
      <c r="K132" s="684"/>
      <c r="L132" s="459">
        <f>COUNTIF(F131:H135,"Parent A")</f>
        <v>10</v>
      </c>
      <c r="M132" s="684">
        <f>COUNTIF(F131:H135,"Parent B")</f>
        <v>5</v>
      </c>
    </row>
    <row r="133" spans="1:13" x14ac:dyDescent="0.25">
      <c r="A133" s="684"/>
      <c r="B133" s="450"/>
      <c r="C133" s="449"/>
      <c r="D133" s="446">
        <v>53.7</v>
      </c>
      <c r="E133" s="446" t="s">
        <v>939</v>
      </c>
      <c r="F133" s="446" t="s">
        <v>49</v>
      </c>
      <c r="G133" s="446" t="s">
        <v>49</v>
      </c>
      <c r="H133" s="446" t="s">
        <v>49</v>
      </c>
      <c r="I133" s="439"/>
      <c r="J133" s="439"/>
      <c r="K133" s="684"/>
      <c r="L133" s="424"/>
      <c r="M133" s="684"/>
    </row>
    <row r="134" spans="1:13" x14ac:dyDescent="0.25">
      <c r="A134" s="684"/>
      <c r="B134" s="450"/>
      <c r="C134" s="449"/>
      <c r="D134" s="446">
        <v>54.7</v>
      </c>
      <c r="E134" s="446" t="s">
        <v>940</v>
      </c>
      <c r="F134" s="446" t="s">
        <v>49</v>
      </c>
      <c r="G134" s="446" t="s">
        <v>49</v>
      </c>
      <c r="H134" s="446" t="s">
        <v>49</v>
      </c>
      <c r="I134" s="439"/>
      <c r="J134" s="439"/>
      <c r="K134" s="684"/>
      <c r="L134" s="424"/>
      <c r="M134" s="684"/>
    </row>
    <row r="135" spans="1:13" x14ac:dyDescent="0.25">
      <c r="A135" s="684"/>
      <c r="B135" s="450"/>
      <c r="C135" s="449"/>
      <c r="D135" s="446">
        <v>55.7</v>
      </c>
      <c r="E135" s="446" t="s">
        <v>941</v>
      </c>
      <c r="F135" s="446" t="s">
        <v>50</v>
      </c>
      <c r="G135" s="453" t="s">
        <v>49</v>
      </c>
      <c r="H135" s="453" t="s">
        <v>50</v>
      </c>
      <c r="I135" s="439"/>
      <c r="J135" s="439"/>
      <c r="K135" s="684"/>
      <c r="L135" s="424"/>
      <c r="M135" s="684"/>
    </row>
    <row r="136" spans="1:13" x14ac:dyDescent="0.25">
      <c r="A136" s="684"/>
      <c r="B136" s="450"/>
      <c r="C136" s="449"/>
      <c r="D136" s="446"/>
      <c r="E136" s="446"/>
      <c r="F136" s="446"/>
      <c r="G136" s="450"/>
      <c r="H136" s="450"/>
      <c r="I136" s="439"/>
      <c r="J136" s="437"/>
      <c r="K136" s="684"/>
      <c r="L136" s="424"/>
      <c r="M136" s="684"/>
    </row>
    <row r="137" spans="1:13" x14ac:dyDescent="0.25">
      <c r="A137" s="684"/>
      <c r="B137" s="450"/>
      <c r="C137" s="449"/>
      <c r="D137" s="446">
        <v>61.7</v>
      </c>
      <c r="E137" s="446" t="s">
        <v>936</v>
      </c>
      <c r="F137" s="446" t="s">
        <v>49</v>
      </c>
      <c r="G137" s="446" t="s">
        <v>49</v>
      </c>
      <c r="H137" s="446" t="s">
        <v>49</v>
      </c>
      <c r="I137" s="439"/>
      <c r="J137" s="439"/>
      <c r="K137" s="684">
        <v>18</v>
      </c>
      <c r="L137" s="424">
        <f>K137*A117</f>
        <v>12</v>
      </c>
      <c r="M137" s="684">
        <f>K137-L137</f>
        <v>6</v>
      </c>
    </row>
    <row r="138" spans="1:13" x14ac:dyDescent="0.25">
      <c r="A138" s="684"/>
      <c r="B138" s="450"/>
      <c r="C138" s="449"/>
      <c r="D138" s="446">
        <v>62.7</v>
      </c>
      <c r="E138" s="446" t="s">
        <v>938</v>
      </c>
      <c r="F138" s="446" t="s">
        <v>50</v>
      </c>
      <c r="G138" s="446" t="s">
        <v>50</v>
      </c>
      <c r="H138" s="446" t="s">
        <v>50</v>
      </c>
      <c r="I138" s="439"/>
      <c r="J138" s="439"/>
      <c r="K138" s="684"/>
      <c r="L138" s="459">
        <f>COUNTIF(F137:H142,"Parent A")</f>
        <v>12</v>
      </c>
      <c r="M138" s="684">
        <f>COUNTIF(F137:H142,"Parent B")</f>
        <v>6</v>
      </c>
    </row>
    <row r="139" spans="1:13" x14ac:dyDescent="0.25">
      <c r="A139" s="684"/>
      <c r="B139" s="450"/>
      <c r="C139" s="449"/>
      <c r="D139" s="446">
        <v>63.7</v>
      </c>
      <c r="E139" s="446" t="s">
        <v>939</v>
      </c>
      <c r="F139" s="446" t="s">
        <v>49</v>
      </c>
      <c r="G139" s="446" t="s">
        <v>49</v>
      </c>
      <c r="H139" s="446" t="s">
        <v>49</v>
      </c>
      <c r="I139" s="439"/>
      <c r="J139" s="439"/>
      <c r="K139" s="684"/>
      <c r="L139" s="424"/>
      <c r="M139" s="684"/>
    </row>
    <row r="140" spans="1:13" x14ac:dyDescent="0.25">
      <c r="A140" s="684"/>
      <c r="B140" s="450"/>
      <c r="C140" s="449"/>
      <c r="D140" s="446">
        <v>64.7</v>
      </c>
      <c r="E140" s="446" t="s">
        <v>940</v>
      </c>
      <c r="F140" s="446" t="s">
        <v>49</v>
      </c>
      <c r="G140" s="446" t="s">
        <v>49</v>
      </c>
      <c r="H140" s="446" t="s">
        <v>49</v>
      </c>
      <c r="I140" s="439"/>
      <c r="J140" s="439"/>
      <c r="K140" s="684"/>
      <c r="L140" s="424"/>
      <c r="M140" s="684"/>
    </row>
    <row r="141" spans="1:13" x14ac:dyDescent="0.25">
      <c r="A141" s="684"/>
      <c r="B141" s="450"/>
      <c r="C141" s="449"/>
      <c r="D141" s="446">
        <v>65.7</v>
      </c>
      <c r="E141" s="446" t="s">
        <v>941</v>
      </c>
      <c r="F141" s="446" t="s">
        <v>50</v>
      </c>
      <c r="G141" s="446" t="s">
        <v>50</v>
      </c>
      <c r="H141" s="446" t="s">
        <v>50</v>
      </c>
      <c r="I141" s="439"/>
      <c r="J141" s="439"/>
      <c r="K141" s="684"/>
      <c r="L141" s="424"/>
      <c r="M141" s="684"/>
    </row>
    <row r="142" spans="1:13" x14ac:dyDescent="0.25">
      <c r="A142" s="632"/>
      <c r="B142" s="454"/>
      <c r="C142" s="442"/>
      <c r="D142" s="455">
        <v>66.7</v>
      </c>
      <c r="E142" s="455" t="s">
        <v>942</v>
      </c>
      <c r="F142" s="455" t="s">
        <v>49</v>
      </c>
      <c r="G142" s="455" t="s">
        <v>49</v>
      </c>
      <c r="H142" s="455" t="s">
        <v>49</v>
      </c>
      <c r="I142" s="455"/>
      <c r="J142" s="455"/>
      <c r="K142" s="632"/>
      <c r="L142" s="457"/>
      <c r="M142" s="632"/>
    </row>
    <row r="143" spans="1:13" x14ac:dyDescent="0.25">
      <c r="A143" s="684"/>
      <c r="B143" s="450"/>
      <c r="C143" s="449"/>
      <c r="D143" s="446"/>
      <c r="E143" s="446"/>
      <c r="F143" s="446"/>
      <c r="G143" s="450"/>
      <c r="H143" s="450"/>
      <c r="I143" s="450"/>
      <c r="J143" s="450"/>
      <c r="K143" s="684"/>
      <c r="L143" s="424"/>
      <c r="M143" s="684"/>
    </row>
    <row r="144" spans="1:13" x14ac:dyDescent="0.25">
      <c r="A144" s="458">
        <v>0.6</v>
      </c>
      <c r="B144" s="450">
        <v>0.6</v>
      </c>
      <c r="C144" s="716" t="s">
        <v>947</v>
      </c>
      <c r="D144" s="446">
        <v>11.6</v>
      </c>
      <c r="E144" s="446" t="s">
        <v>936</v>
      </c>
      <c r="F144" s="446" t="s">
        <v>49</v>
      </c>
      <c r="G144" s="450" t="s">
        <v>50</v>
      </c>
      <c r="H144" s="450" t="s">
        <v>49</v>
      </c>
      <c r="I144" s="450" t="s">
        <v>50</v>
      </c>
      <c r="J144" s="450" t="s">
        <v>49</v>
      </c>
      <c r="K144" s="684">
        <v>5</v>
      </c>
      <c r="L144" s="424">
        <f>K144*A144</f>
        <v>3</v>
      </c>
      <c r="M144" s="684">
        <f>K144-L144</f>
        <v>2</v>
      </c>
    </row>
    <row r="145" spans="1:13" x14ac:dyDescent="0.25">
      <c r="A145" s="684"/>
      <c r="B145" s="450"/>
      <c r="C145" s="449"/>
      <c r="D145" s="446"/>
      <c r="E145" s="446"/>
      <c r="F145" s="446"/>
      <c r="G145" s="450"/>
      <c r="H145" s="450"/>
      <c r="I145" s="450"/>
      <c r="J145" s="450"/>
      <c r="K145" s="684"/>
      <c r="L145" s="424"/>
      <c r="M145" s="684"/>
    </row>
    <row r="146" spans="1:13" x14ac:dyDescent="0.25">
      <c r="A146" s="684"/>
      <c r="B146" s="450"/>
      <c r="C146" s="449"/>
      <c r="D146" s="446">
        <v>21.6</v>
      </c>
      <c r="E146" s="446" t="s">
        <v>936</v>
      </c>
      <c r="F146" s="446" t="s">
        <v>49</v>
      </c>
      <c r="G146" s="450" t="s">
        <v>49</v>
      </c>
      <c r="H146" s="450" t="s">
        <v>49</v>
      </c>
      <c r="I146" s="450" t="s">
        <v>49</v>
      </c>
      <c r="J146" s="450" t="s">
        <v>49</v>
      </c>
      <c r="K146" s="684">
        <v>10</v>
      </c>
      <c r="L146" s="424">
        <f>K146*A144</f>
        <v>6</v>
      </c>
      <c r="M146" s="684">
        <f>K146-L146</f>
        <v>4</v>
      </c>
    </row>
    <row r="147" spans="1:13" x14ac:dyDescent="0.25">
      <c r="A147" s="684"/>
      <c r="B147" s="450"/>
      <c r="C147" s="449"/>
      <c r="D147" s="446">
        <v>22.6</v>
      </c>
      <c r="E147" s="446" t="s">
        <v>938</v>
      </c>
      <c r="F147" s="446" t="s">
        <v>50</v>
      </c>
      <c r="G147" s="450" t="s">
        <v>50</v>
      </c>
      <c r="H147" s="452" t="s">
        <v>49</v>
      </c>
      <c r="I147" s="450" t="s">
        <v>50</v>
      </c>
      <c r="J147" s="452" t="s">
        <v>50</v>
      </c>
      <c r="K147" s="684"/>
      <c r="L147" s="424">
        <f>COUNTIF(F146:J147,"Parent A")</f>
        <v>6</v>
      </c>
      <c r="M147" s="684">
        <f>COUNTIF(F146:J147,"Parent B")</f>
        <v>4</v>
      </c>
    </row>
    <row r="148" spans="1:13" x14ac:dyDescent="0.25">
      <c r="A148" s="684"/>
      <c r="B148" s="450"/>
      <c r="C148" s="449"/>
      <c r="D148" s="446"/>
      <c r="E148" s="446"/>
      <c r="F148" s="446"/>
      <c r="G148" s="450"/>
      <c r="H148" s="450"/>
      <c r="I148" s="450"/>
      <c r="J148" s="450"/>
      <c r="K148" s="684"/>
      <c r="L148" s="424"/>
      <c r="M148" s="684"/>
    </row>
    <row r="149" spans="1:13" x14ac:dyDescent="0.25">
      <c r="A149" s="684"/>
      <c r="B149" s="450"/>
      <c r="C149" s="449"/>
      <c r="D149" s="446">
        <v>31.6</v>
      </c>
      <c r="E149" s="446" t="s">
        <v>936</v>
      </c>
      <c r="F149" s="446" t="s">
        <v>49</v>
      </c>
      <c r="G149" s="446" t="s">
        <v>49</v>
      </c>
      <c r="H149" s="453" t="s">
        <v>49</v>
      </c>
      <c r="I149" s="446" t="s">
        <v>49</v>
      </c>
      <c r="J149" s="446" t="s">
        <v>49</v>
      </c>
      <c r="K149" s="684">
        <v>15</v>
      </c>
      <c r="L149" s="424">
        <f>K149*A144</f>
        <v>9</v>
      </c>
      <c r="M149" s="684">
        <f>K149-L149</f>
        <v>6</v>
      </c>
    </row>
    <row r="150" spans="1:13" x14ac:dyDescent="0.25">
      <c r="A150" s="684"/>
      <c r="B150" s="450"/>
      <c r="C150" s="449"/>
      <c r="D150" s="446">
        <v>32.6</v>
      </c>
      <c r="E150" s="446" t="s">
        <v>938</v>
      </c>
      <c r="F150" s="446" t="s">
        <v>50</v>
      </c>
      <c r="G150" s="446" t="s">
        <v>50</v>
      </c>
      <c r="H150" s="446" t="s">
        <v>50</v>
      </c>
      <c r="I150" s="446" t="s">
        <v>50</v>
      </c>
      <c r="J150" s="453" t="s">
        <v>50</v>
      </c>
      <c r="K150" s="684"/>
      <c r="L150" s="424">
        <f>COUNTIF(F149:J151,"Parent A")</f>
        <v>9</v>
      </c>
      <c r="M150" s="684">
        <f>COUNTIF(F149:J151,"Parent B")</f>
        <v>6</v>
      </c>
    </row>
    <row r="151" spans="1:13" x14ac:dyDescent="0.25">
      <c r="A151" s="684"/>
      <c r="B151" s="450"/>
      <c r="C151" s="449"/>
      <c r="D151" s="446">
        <v>33.6</v>
      </c>
      <c r="E151" s="446" t="s">
        <v>939</v>
      </c>
      <c r="F151" s="446" t="s">
        <v>49</v>
      </c>
      <c r="G151" s="453" t="s">
        <v>49</v>
      </c>
      <c r="H151" s="453" t="s">
        <v>50</v>
      </c>
      <c r="I151" s="453" t="s">
        <v>49</v>
      </c>
      <c r="J151" s="453" t="s">
        <v>49</v>
      </c>
      <c r="K151" s="684"/>
      <c r="L151" s="424"/>
      <c r="M151" s="684"/>
    </row>
    <row r="152" spans="1:13" x14ac:dyDescent="0.25">
      <c r="A152" s="684"/>
      <c r="B152" s="450"/>
      <c r="C152" s="449"/>
      <c r="D152" s="446"/>
      <c r="E152" s="446"/>
      <c r="F152" s="446"/>
      <c r="G152" s="450"/>
      <c r="H152" s="450"/>
      <c r="I152" s="450"/>
      <c r="J152" s="450"/>
      <c r="K152" s="684"/>
      <c r="L152" s="424"/>
      <c r="M152" s="684"/>
    </row>
    <row r="153" spans="1:13" x14ac:dyDescent="0.25">
      <c r="A153" s="684"/>
      <c r="B153" s="450"/>
      <c r="C153" s="449"/>
      <c r="D153" s="446">
        <v>41.6</v>
      </c>
      <c r="E153" s="446" t="s">
        <v>936</v>
      </c>
      <c r="F153" s="446" t="s">
        <v>49</v>
      </c>
      <c r="G153" s="446" t="s">
        <v>49</v>
      </c>
      <c r="H153" s="446" t="s">
        <v>49</v>
      </c>
      <c r="I153" s="446" t="s">
        <v>49</v>
      </c>
      <c r="J153" s="446" t="s">
        <v>49</v>
      </c>
      <c r="K153" s="684">
        <v>20</v>
      </c>
      <c r="L153" s="424">
        <f>K153*A144</f>
        <v>12</v>
      </c>
      <c r="M153" s="684">
        <f>K153-L153</f>
        <v>8</v>
      </c>
    </row>
    <row r="154" spans="1:13" x14ac:dyDescent="0.25">
      <c r="A154" s="684"/>
      <c r="B154" s="450"/>
      <c r="C154" s="449"/>
      <c r="D154" s="446">
        <v>42.6</v>
      </c>
      <c r="E154" s="446" t="s">
        <v>938</v>
      </c>
      <c r="F154" s="446" t="s">
        <v>50</v>
      </c>
      <c r="G154" s="446" t="s">
        <v>50</v>
      </c>
      <c r="H154" s="446" t="s">
        <v>50</v>
      </c>
      <c r="I154" s="446" t="s">
        <v>50</v>
      </c>
      <c r="J154" s="446" t="s">
        <v>50</v>
      </c>
      <c r="K154" s="684"/>
      <c r="L154" s="424">
        <f>COUNTIF(F153:J156,"Parent A")</f>
        <v>12</v>
      </c>
      <c r="M154" s="684">
        <f>COUNTIF(F153:J156,"Parent B")</f>
        <v>8</v>
      </c>
    </row>
    <row r="155" spans="1:13" x14ac:dyDescent="0.25">
      <c r="A155" s="684"/>
      <c r="B155" s="450"/>
      <c r="C155" s="449"/>
      <c r="D155" s="446">
        <v>43.6</v>
      </c>
      <c r="E155" s="446" t="s">
        <v>939</v>
      </c>
      <c r="F155" s="453" t="s">
        <v>49</v>
      </c>
      <c r="G155" s="446" t="s">
        <v>49</v>
      </c>
      <c r="H155" s="453" t="s">
        <v>49</v>
      </c>
      <c r="I155" s="446" t="s">
        <v>49</v>
      </c>
      <c r="J155" s="453" t="s">
        <v>49</v>
      </c>
      <c r="K155" s="684"/>
      <c r="L155" s="424"/>
      <c r="M155" s="684"/>
    </row>
    <row r="156" spans="1:13" x14ac:dyDescent="0.25">
      <c r="A156" s="684"/>
      <c r="B156" s="450"/>
      <c r="C156" s="449"/>
      <c r="D156" s="446">
        <v>44.6</v>
      </c>
      <c r="E156" s="446" t="s">
        <v>940</v>
      </c>
      <c r="F156" s="453" t="s">
        <v>50</v>
      </c>
      <c r="G156" s="446" t="s">
        <v>49</v>
      </c>
      <c r="H156" s="453" t="s">
        <v>50</v>
      </c>
      <c r="I156" s="446" t="s">
        <v>49</v>
      </c>
      <c r="J156" s="453" t="s">
        <v>50</v>
      </c>
      <c r="K156" s="684"/>
      <c r="L156" s="424"/>
      <c r="M156" s="684"/>
    </row>
    <row r="157" spans="1:13" x14ac:dyDescent="0.25">
      <c r="A157" s="684"/>
      <c r="B157" s="450"/>
      <c r="C157" s="449"/>
      <c r="D157" s="446"/>
      <c r="E157" s="446"/>
      <c r="F157" s="446"/>
      <c r="G157" s="450"/>
      <c r="H157" s="450"/>
      <c r="I157" s="450"/>
      <c r="J157" s="450"/>
      <c r="K157" s="684"/>
      <c r="L157" s="424"/>
      <c r="M157" s="684"/>
    </row>
    <row r="158" spans="1:13" x14ac:dyDescent="0.25">
      <c r="A158" s="684"/>
      <c r="B158" s="450"/>
      <c r="C158" s="449"/>
      <c r="D158" s="446">
        <v>51.6</v>
      </c>
      <c r="E158" s="446" t="s">
        <v>936</v>
      </c>
      <c r="F158" s="446" t="s">
        <v>49</v>
      </c>
      <c r="G158" s="446" t="s">
        <v>49</v>
      </c>
      <c r="H158" s="446" t="s">
        <v>49</v>
      </c>
      <c r="I158" s="446" t="s">
        <v>49</v>
      </c>
      <c r="J158" s="446" t="s">
        <v>49</v>
      </c>
      <c r="K158" s="684">
        <v>25</v>
      </c>
      <c r="L158" s="424">
        <f>K158*A144</f>
        <v>15</v>
      </c>
      <c r="M158" s="684">
        <f>K158-L158</f>
        <v>10</v>
      </c>
    </row>
    <row r="159" spans="1:13" x14ac:dyDescent="0.25">
      <c r="A159" s="684"/>
      <c r="B159" s="450"/>
      <c r="C159" s="449"/>
      <c r="D159" s="446">
        <v>52.6</v>
      </c>
      <c r="E159" s="446" t="s">
        <v>938</v>
      </c>
      <c r="F159" s="446" t="s">
        <v>50</v>
      </c>
      <c r="G159" s="446" t="s">
        <v>50</v>
      </c>
      <c r="H159" s="446" t="s">
        <v>50</v>
      </c>
      <c r="I159" s="446" t="s">
        <v>50</v>
      </c>
      <c r="J159" s="446" t="s">
        <v>50</v>
      </c>
      <c r="K159" s="684"/>
      <c r="L159" s="424">
        <f>COUNTIF(F158:J162,"Parent A")</f>
        <v>15</v>
      </c>
      <c r="M159" s="684">
        <f>COUNTIF(F158:J162,"Parent B")</f>
        <v>10</v>
      </c>
    </row>
    <row r="160" spans="1:13" x14ac:dyDescent="0.25">
      <c r="A160" s="684"/>
      <c r="B160" s="450"/>
      <c r="C160" s="449"/>
      <c r="D160" s="446">
        <v>53.6</v>
      </c>
      <c r="E160" s="446" t="s">
        <v>939</v>
      </c>
      <c r="F160" s="446" t="s">
        <v>49</v>
      </c>
      <c r="G160" s="446" t="s">
        <v>49</v>
      </c>
      <c r="H160" s="446" t="s">
        <v>49</v>
      </c>
      <c r="I160" s="446" t="s">
        <v>49</v>
      </c>
      <c r="J160" s="446" t="s">
        <v>49</v>
      </c>
      <c r="K160" s="684"/>
      <c r="L160" s="424"/>
      <c r="M160" s="684"/>
    </row>
    <row r="161" spans="1:13" x14ac:dyDescent="0.25">
      <c r="A161" s="684"/>
      <c r="B161" s="450"/>
      <c r="C161" s="449"/>
      <c r="D161" s="446">
        <v>54.6</v>
      </c>
      <c r="E161" s="446" t="s">
        <v>940</v>
      </c>
      <c r="F161" s="446" t="s">
        <v>50</v>
      </c>
      <c r="G161" s="446" t="s">
        <v>50</v>
      </c>
      <c r="H161" s="446" t="s">
        <v>50</v>
      </c>
      <c r="I161" s="446" t="s">
        <v>50</v>
      </c>
      <c r="J161" s="446" t="s">
        <v>50</v>
      </c>
      <c r="K161" s="684"/>
      <c r="L161" s="424"/>
      <c r="M161" s="684"/>
    </row>
    <row r="162" spans="1:13" x14ac:dyDescent="0.25">
      <c r="A162" s="684"/>
      <c r="B162" s="450"/>
      <c r="C162" s="449"/>
      <c r="D162" s="446">
        <v>55.6</v>
      </c>
      <c r="E162" s="446" t="s">
        <v>941</v>
      </c>
      <c r="F162" s="446" t="s">
        <v>49</v>
      </c>
      <c r="G162" s="446" t="s">
        <v>49</v>
      </c>
      <c r="H162" s="446" t="s">
        <v>49</v>
      </c>
      <c r="I162" s="446" t="s">
        <v>49</v>
      </c>
      <c r="J162" s="446" t="s">
        <v>49</v>
      </c>
      <c r="K162" s="684"/>
      <c r="L162" s="424"/>
      <c r="M162" s="684"/>
    </row>
    <row r="163" spans="1:13" x14ac:dyDescent="0.25">
      <c r="A163" s="684"/>
      <c r="B163" s="450"/>
      <c r="C163" s="449"/>
      <c r="D163" s="446"/>
      <c r="E163" s="446"/>
      <c r="F163" s="446"/>
      <c r="G163" s="450"/>
      <c r="H163" s="450"/>
      <c r="I163" s="450"/>
      <c r="J163" s="450"/>
      <c r="K163" s="684"/>
      <c r="L163" s="424"/>
      <c r="M163" s="684"/>
    </row>
    <row r="164" spans="1:13" x14ac:dyDescent="0.25">
      <c r="A164" s="684"/>
      <c r="B164" s="450"/>
      <c r="C164" s="449"/>
      <c r="D164" s="446">
        <v>61.6</v>
      </c>
      <c r="E164" s="446" t="s">
        <v>936</v>
      </c>
      <c r="F164" s="446" t="s">
        <v>49</v>
      </c>
      <c r="G164" s="446" t="s">
        <v>49</v>
      </c>
      <c r="H164" s="446" t="s">
        <v>49</v>
      </c>
      <c r="I164" s="446" t="s">
        <v>49</v>
      </c>
      <c r="J164" s="446" t="s">
        <v>49</v>
      </c>
      <c r="K164" s="684">
        <v>30</v>
      </c>
      <c r="L164" s="424">
        <f>K164*A144</f>
        <v>18</v>
      </c>
      <c r="M164" s="684">
        <f>K164-L164</f>
        <v>12</v>
      </c>
    </row>
    <row r="165" spans="1:13" x14ac:dyDescent="0.25">
      <c r="A165" s="684"/>
      <c r="B165" s="450"/>
      <c r="C165" s="449"/>
      <c r="D165" s="446">
        <v>62.6</v>
      </c>
      <c r="E165" s="446" t="s">
        <v>938</v>
      </c>
      <c r="F165" s="446" t="s">
        <v>50</v>
      </c>
      <c r="G165" s="446" t="s">
        <v>50</v>
      </c>
      <c r="H165" s="446" t="s">
        <v>50</v>
      </c>
      <c r="I165" s="446" t="s">
        <v>50</v>
      </c>
      <c r="J165" s="446" t="s">
        <v>50</v>
      </c>
      <c r="K165" s="684"/>
      <c r="L165" s="424">
        <f>COUNTIF(F164:J169,"Parent A")</f>
        <v>18</v>
      </c>
      <c r="M165" s="684">
        <f>COUNTIF(F164:J169,"Parent B")</f>
        <v>12</v>
      </c>
    </row>
    <row r="166" spans="1:13" x14ac:dyDescent="0.25">
      <c r="A166" s="684"/>
      <c r="B166" s="450"/>
      <c r="C166" s="449"/>
      <c r="D166" s="446">
        <v>63.6</v>
      </c>
      <c r="E166" s="446" t="s">
        <v>939</v>
      </c>
      <c r="F166" s="446" t="s">
        <v>49</v>
      </c>
      <c r="G166" s="446" t="s">
        <v>49</v>
      </c>
      <c r="H166" s="446" t="s">
        <v>49</v>
      </c>
      <c r="I166" s="446" t="s">
        <v>49</v>
      </c>
      <c r="J166" s="446" t="s">
        <v>49</v>
      </c>
      <c r="K166" s="684"/>
      <c r="L166" s="424"/>
      <c r="M166" s="684"/>
    </row>
    <row r="167" spans="1:13" x14ac:dyDescent="0.25">
      <c r="A167" s="684"/>
      <c r="B167" s="450"/>
      <c r="C167" s="449"/>
      <c r="D167" s="446">
        <v>64.599999999999994</v>
      </c>
      <c r="E167" s="446" t="s">
        <v>940</v>
      </c>
      <c r="F167" s="446" t="s">
        <v>50</v>
      </c>
      <c r="G167" s="446" t="s">
        <v>50</v>
      </c>
      <c r="H167" s="446" t="s">
        <v>50</v>
      </c>
      <c r="I167" s="446" t="s">
        <v>50</v>
      </c>
      <c r="J167" s="446" t="s">
        <v>50</v>
      </c>
      <c r="K167" s="684"/>
      <c r="L167" s="424"/>
      <c r="M167" s="684"/>
    </row>
    <row r="168" spans="1:13" x14ac:dyDescent="0.25">
      <c r="A168" s="684"/>
      <c r="B168" s="450"/>
      <c r="C168" s="449"/>
      <c r="D168" s="446">
        <v>65.599999999999994</v>
      </c>
      <c r="E168" s="446" t="s">
        <v>941</v>
      </c>
      <c r="F168" s="446" t="s">
        <v>49</v>
      </c>
      <c r="G168" s="446" t="s">
        <v>49</v>
      </c>
      <c r="H168" s="446" t="s">
        <v>49</v>
      </c>
      <c r="I168" s="446" t="s">
        <v>49</v>
      </c>
      <c r="J168" s="446" t="s">
        <v>49</v>
      </c>
      <c r="K168" s="684"/>
      <c r="L168" s="424"/>
      <c r="M168" s="684"/>
    </row>
    <row r="169" spans="1:13" x14ac:dyDescent="0.25">
      <c r="A169" s="632"/>
      <c r="B169" s="454"/>
      <c r="C169" s="442"/>
      <c r="D169" s="455">
        <v>66.599999999999994</v>
      </c>
      <c r="E169" s="455" t="s">
        <v>942</v>
      </c>
      <c r="F169" s="455" t="s">
        <v>49</v>
      </c>
      <c r="G169" s="455" t="s">
        <v>50</v>
      </c>
      <c r="H169" s="446" t="s">
        <v>49</v>
      </c>
      <c r="I169" s="446" t="s">
        <v>50</v>
      </c>
      <c r="J169" s="446" t="s">
        <v>49</v>
      </c>
      <c r="K169" s="632"/>
      <c r="L169" s="457"/>
      <c r="M169" s="632"/>
    </row>
    <row r="170" spans="1:13" x14ac:dyDescent="0.25">
      <c r="A170" s="684"/>
      <c r="B170" s="450"/>
      <c r="C170" s="449"/>
      <c r="D170" s="446"/>
      <c r="E170" s="446"/>
      <c r="F170" s="446"/>
      <c r="G170" s="450"/>
      <c r="H170" s="857"/>
      <c r="I170" s="857"/>
      <c r="J170" s="857"/>
      <c r="K170" s="684"/>
      <c r="L170" s="424"/>
      <c r="M170" s="684"/>
    </row>
    <row r="171" spans="1:13" x14ac:dyDescent="0.25">
      <c r="A171" s="458">
        <v>0.5</v>
      </c>
      <c r="B171" s="450">
        <v>0.5</v>
      </c>
      <c r="C171" s="716" t="s">
        <v>948</v>
      </c>
      <c r="D171" s="446">
        <v>11.5</v>
      </c>
      <c r="E171" s="446" t="s">
        <v>936</v>
      </c>
      <c r="F171" s="446" t="s">
        <v>50</v>
      </c>
      <c r="G171" s="450" t="s">
        <v>49</v>
      </c>
      <c r="H171" s="439"/>
      <c r="I171" s="437"/>
      <c r="J171" s="439"/>
      <c r="K171" s="684">
        <v>2</v>
      </c>
      <c r="L171" s="424">
        <f>K171*A171</f>
        <v>1</v>
      </c>
      <c r="M171" s="684">
        <f>K171-L171</f>
        <v>1</v>
      </c>
    </row>
    <row r="172" spans="1:13" x14ac:dyDescent="0.25">
      <c r="A172" s="684"/>
      <c r="B172" s="450"/>
      <c r="C172" s="449"/>
      <c r="D172" s="446"/>
      <c r="E172" s="446"/>
      <c r="F172" s="446"/>
      <c r="G172" s="450"/>
      <c r="H172" s="439"/>
      <c r="I172" s="437"/>
      <c r="J172" s="439"/>
      <c r="K172" s="684"/>
      <c r="L172" s="424"/>
      <c r="M172" s="684"/>
    </row>
    <row r="173" spans="1:13" x14ac:dyDescent="0.25">
      <c r="A173" s="684"/>
      <c r="B173" s="450"/>
      <c r="C173" s="449"/>
      <c r="D173" s="446">
        <v>21.5</v>
      </c>
      <c r="E173" s="446" t="s">
        <v>936</v>
      </c>
      <c r="F173" s="446" t="s">
        <v>50</v>
      </c>
      <c r="G173" s="450" t="s">
        <v>50</v>
      </c>
      <c r="H173" s="439"/>
      <c r="I173" s="437"/>
      <c r="J173" s="439"/>
      <c r="K173" s="684">
        <v>4</v>
      </c>
      <c r="L173" s="424">
        <f>K173*A171</f>
        <v>2</v>
      </c>
      <c r="M173" s="684">
        <f>K173-L173</f>
        <v>2</v>
      </c>
    </row>
    <row r="174" spans="1:13" x14ac:dyDescent="0.25">
      <c r="A174" s="684"/>
      <c r="B174" s="450"/>
      <c r="C174" s="449"/>
      <c r="D174" s="446">
        <v>22.5</v>
      </c>
      <c r="E174" s="446" t="s">
        <v>938</v>
      </c>
      <c r="F174" s="446" t="s">
        <v>49</v>
      </c>
      <c r="G174" s="450" t="s">
        <v>49</v>
      </c>
      <c r="H174" s="439"/>
      <c r="I174" s="437"/>
      <c r="J174" s="439"/>
      <c r="K174" s="684"/>
      <c r="L174" s="424">
        <f>COUNTIF(F173:G174,"Parent A")</f>
        <v>2</v>
      </c>
      <c r="M174" s="684">
        <f>COUNTIF(F173:G174,"Parent B")</f>
        <v>2</v>
      </c>
    </row>
    <row r="175" spans="1:13" x14ac:dyDescent="0.25">
      <c r="A175" s="684"/>
      <c r="B175" s="450"/>
      <c r="C175" s="449"/>
      <c r="D175" s="446"/>
      <c r="E175" s="446"/>
      <c r="F175" s="446"/>
      <c r="G175" s="450"/>
      <c r="H175" s="439"/>
      <c r="I175" s="437"/>
      <c r="J175" s="439"/>
      <c r="K175" s="684"/>
      <c r="L175" s="424"/>
      <c r="M175" s="684"/>
    </row>
    <row r="176" spans="1:13" x14ac:dyDescent="0.25">
      <c r="A176" s="684"/>
      <c r="B176" s="450"/>
      <c r="C176" s="449"/>
      <c r="D176" s="446">
        <v>31.5</v>
      </c>
      <c r="E176" s="446" t="s">
        <v>936</v>
      </c>
      <c r="F176" s="446" t="s">
        <v>49</v>
      </c>
      <c r="G176" s="450" t="s">
        <v>49</v>
      </c>
      <c r="H176" s="439"/>
      <c r="I176" s="437"/>
      <c r="J176" s="439"/>
      <c r="K176" s="684">
        <v>6</v>
      </c>
      <c r="L176" s="424">
        <f>K176*A171</f>
        <v>3</v>
      </c>
      <c r="M176" s="684">
        <f>K176-L176</f>
        <v>3</v>
      </c>
    </row>
    <row r="177" spans="1:13" x14ac:dyDescent="0.25">
      <c r="A177" s="684"/>
      <c r="B177" s="450"/>
      <c r="C177" s="449"/>
      <c r="D177" s="446">
        <v>32.5</v>
      </c>
      <c r="E177" s="446" t="s">
        <v>938</v>
      </c>
      <c r="F177" s="450" t="s">
        <v>50</v>
      </c>
      <c r="G177" s="450" t="s">
        <v>50</v>
      </c>
      <c r="H177" s="437"/>
      <c r="I177" s="437"/>
      <c r="J177" s="437"/>
      <c r="K177" s="684"/>
      <c r="L177" s="424">
        <f>COUNTIF(F176:G178,"Parent A")</f>
        <v>3</v>
      </c>
      <c r="M177" s="684">
        <f>COUNTIF(F176:G178,"Parent B")</f>
        <v>3</v>
      </c>
    </row>
    <row r="178" spans="1:13" x14ac:dyDescent="0.25">
      <c r="A178" s="684"/>
      <c r="B178" s="450"/>
      <c r="C178" s="449"/>
      <c r="D178" s="446">
        <v>33.5</v>
      </c>
      <c r="E178" s="446" t="s">
        <v>939</v>
      </c>
      <c r="F178" s="453" t="s">
        <v>49</v>
      </c>
      <c r="G178" s="452" t="s">
        <v>50</v>
      </c>
      <c r="H178" s="439"/>
      <c r="I178" s="437"/>
      <c r="J178" s="439"/>
      <c r="K178" s="684"/>
      <c r="L178" s="424"/>
      <c r="M178" s="684"/>
    </row>
    <row r="179" spans="1:13" x14ac:dyDescent="0.25">
      <c r="A179" s="684"/>
      <c r="B179" s="450"/>
      <c r="C179" s="449"/>
      <c r="D179" s="446"/>
      <c r="E179" s="446"/>
      <c r="F179" s="446"/>
      <c r="G179" s="450"/>
      <c r="H179" s="439"/>
      <c r="I179" s="437"/>
      <c r="J179" s="439"/>
      <c r="K179" s="684"/>
      <c r="L179" s="424"/>
      <c r="M179" s="684"/>
    </row>
    <row r="180" spans="1:13" x14ac:dyDescent="0.25">
      <c r="A180" s="684"/>
      <c r="B180" s="450"/>
      <c r="C180" s="449"/>
      <c r="D180" s="446">
        <v>41.5</v>
      </c>
      <c r="E180" s="446" t="s">
        <v>936</v>
      </c>
      <c r="F180" s="446" t="s">
        <v>50</v>
      </c>
      <c r="G180" s="446" t="s">
        <v>50</v>
      </c>
      <c r="H180" s="439"/>
      <c r="I180" s="439"/>
      <c r="J180" s="439"/>
      <c r="K180" s="684">
        <v>8</v>
      </c>
      <c r="L180" s="424">
        <f>K180*A171</f>
        <v>4</v>
      </c>
      <c r="M180" s="684">
        <f>K180-L180</f>
        <v>4</v>
      </c>
    </row>
    <row r="181" spans="1:13" x14ac:dyDescent="0.25">
      <c r="A181" s="684"/>
      <c r="B181" s="450"/>
      <c r="C181" s="449"/>
      <c r="D181" s="446">
        <v>42.5</v>
      </c>
      <c r="E181" s="446" t="s">
        <v>938</v>
      </c>
      <c r="F181" s="446" t="s">
        <v>49</v>
      </c>
      <c r="G181" s="446" t="s">
        <v>49</v>
      </c>
      <c r="H181" s="439"/>
      <c r="I181" s="439"/>
      <c r="J181" s="439"/>
      <c r="K181" s="684"/>
      <c r="L181" s="424">
        <f>COUNTIF(F180:G183,"Parent A")</f>
        <v>4</v>
      </c>
      <c r="M181" s="684">
        <f>COUNTIF(F180:G183,"Parent B")</f>
        <v>4</v>
      </c>
    </row>
    <row r="182" spans="1:13" x14ac:dyDescent="0.25">
      <c r="A182" s="684"/>
      <c r="B182" s="450"/>
      <c r="C182" s="449"/>
      <c r="D182" s="446">
        <v>43.5</v>
      </c>
      <c r="E182" s="446" t="s">
        <v>939</v>
      </c>
      <c r="F182" s="446" t="s">
        <v>50</v>
      </c>
      <c r="G182" s="446" t="s">
        <v>50</v>
      </c>
      <c r="H182" s="439"/>
      <c r="I182" s="439"/>
      <c r="J182" s="439"/>
      <c r="K182" s="684"/>
      <c r="L182" s="424"/>
      <c r="M182" s="684"/>
    </row>
    <row r="183" spans="1:13" x14ac:dyDescent="0.25">
      <c r="A183" s="684"/>
      <c r="B183" s="450"/>
      <c r="C183" s="449"/>
      <c r="D183" s="446">
        <v>44.5</v>
      </c>
      <c r="E183" s="446" t="s">
        <v>940</v>
      </c>
      <c r="F183" s="453" t="s">
        <v>49</v>
      </c>
      <c r="G183" s="453" t="s">
        <v>49</v>
      </c>
      <c r="H183" s="439"/>
      <c r="I183" s="439"/>
      <c r="J183" s="439"/>
      <c r="K183" s="684"/>
      <c r="L183" s="424"/>
      <c r="M183" s="684"/>
    </row>
    <row r="184" spans="1:13" x14ac:dyDescent="0.25">
      <c r="A184" s="684"/>
      <c r="B184" s="450"/>
      <c r="C184" s="449"/>
      <c r="D184" s="446"/>
      <c r="E184" s="446"/>
      <c r="F184" s="446"/>
      <c r="G184" s="450"/>
      <c r="H184" s="439"/>
      <c r="I184" s="437"/>
      <c r="J184" s="439"/>
      <c r="K184" s="684"/>
      <c r="L184" s="424"/>
      <c r="M184" s="684"/>
    </row>
    <row r="185" spans="1:13" x14ac:dyDescent="0.25">
      <c r="A185" s="684"/>
      <c r="B185" s="450"/>
      <c r="C185" s="449"/>
      <c r="D185" s="446">
        <v>51.5</v>
      </c>
      <c r="E185" s="446" t="s">
        <v>936</v>
      </c>
      <c r="F185" s="446" t="s">
        <v>49</v>
      </c>
      <c r="G185" s="446" t="s">
        <v>49</v>
      </c>
      <c r="H185" s="439"/>
      <c r="I185" s="439"/>
      <c r="J185" s="439"/>
      <c r="K185" s="684">
        <v>10</v>
      </c>
      <c r="L185" s="424">
        <f>K185*A171</f>
        <v>5</v>
      </c>
      <c r="M185" s="684">
        <f>K185-L185</f>
        <v>5</v>
      </c>
    </row>
    <row r="186" spans="1:13" x14ac:dyDescent="0.25">
      <c r="A186" s="684"/>
      <c r="B186" s="450"/>
      <c r="C186" s="449"/>
      <c r="D186" s="446">
        <v>52.5</v>
      </c>
      <c r="E186" s="446" t="s">
        <v>938</v>
      </c>
      <c r="F186" s="446" t="s">
        <v>50</v>
      </c>
      <c r="G186" s="446" t="s">
        <v>50</v>
      </c>
      <c r="H186" s="439"/>
      <c r="I186" s="439"/>
      <c r="J186" s="439"/>
      <c r="K186" s="684"/>
      <c r="L186" s="424">
        <f>COUNTIF(F185:G189,"Parent A")</f>
        <v>5</v>
      </c>
      <c r="M186" s="684">
        <f>COUNTIF(F185:G189,"Parent B")</f>
        <v>5</v>
      </c>
    </row>
    <row r="187" spans="1:13" x14ac:dyDescent="0.25">
      <c r="A187" s="684"/>
      <c r="B187" s="450"/>
      <c r="C187" s="449"/>
      <c r="D187" s="446">
        <v>53.5</v>
      </c>
      <c r="E187" s="446" t="s">
        <v>939</v>
      </c>
      <c r="F187" s="446" t="s">
        <v>49</v>
      </c>
      <c r="G187" s="446" t="s">
        <v>49</v>
      </c>
      <c r="H187" s="439"/>
      <c r="I187" s="439"/>
      <c r="J187" s="439"/>
      <c r="K187" s="684"/>
      <c r="L187" s="424"/>
      <c r="M187" s="684"/>
    </row>
    <row r="188" spans="1:13" x14ac:dyDescent="0.25">
      <c r="A188" s="684"/>
      <c r="B188" s="450"/>
      <c r="C188" s="449"/>
      <c r="D188" s="446">
        <v>54.5</v>
      </c>
      <c r="E188" s="446" t="s">
        <v>940</v>
      </c>
      <c r="F188" s="446" t="s">
        <v>50</v>
      </c>
      <c r="G188" s="446" t="s">
        <v>50</v>
      </c>
      <c r="H188" s="439"/>
      <c r="I188" s="439"/>
      <c r="J188" s="439"/>
      <c r="K188" s="684"/>
      <c r="L188" s="424"/>
      <c r="M188" s="684"/>
    </row>
    <row r="189" spans="1:13" x14ac:dyDescent="0.25">
      <c r="A189" s="684"/>
      <c r="B189" s="450"/>
      <c r="C189" s="449"/>
      <c r="D189" s="446">
        <v>55.5</v>
      </c>
      <c r="E189" s="446" t="s">
        <v>941</v>
      </c>
      <c r="F189" s="446" t="s">
        <v>49</v>
      </c>
      <c r="G189" s="446" t="s">
        <v>50</v>
      </c>
      <c r="H189" s="439"/>
      <c r="I189" s="439"/>
      <c r="J189" s="439"/>
      <c r="K189" s="684"/>
      <c r="L189" s="424"/>
      <c r="M189" s="684"/>
    </row>
    <row r="190" spans="1:13" x14ac:dyDescent="0.25">
      <c r="A190" s="684"/>
      <c r="B190" s="450"/>
      <c r="C190" s="449"/>
      <c r="D190" s="446"/>
      <c r="E190" s="446"/>
      <c r="F190" s="446"/>
      <c r="G190" s="450"/>
      <c r="H190" s="439"/>
      <c r="I190" s="437"/>
      <c r="J190" s="439"/>
      <c r="K190" s="684"/>
      <c r="L190" s="424"/>
      <c r="M190" s="684"/>
    </row>
    <row r="191" spans="1:13" x14ac:dyDescent="0.25">
      <c r="A191" s="684"/>
      <c r="B191" s="450"/>
      <c r="C191" s="449"/>
      <c r="D191" s="446">
        <v>61.5</v>
      </c>
      <c r="E191" s="446" t="s">
        <v>936</v>
      </c>
      <c r="F191" s="446" t="s">
        <v>50</v>
      </c>
      <c r="G191" s="446" t="s">
        <v>50</v>
      </c>
      <c r="H191" s="439"/>
      <c r="I191" s="439"/>
      <c r="J191" s="439"/>
      <c r="K191" s="684">
        <v>12</v>
      </c>
      <c r="L191" s="424">
        <f>K191*A171</f>
        <v>6</v>
      </c>
      <c r="M191" s="684">
        <f>K191-L191</f>
        <v>6</v>
      </c>
    </row>
    <row r="192" spans="1:13" x14ac:dyDescent="0.25">
      <c r="A192" s="684"/>
      <c r="B192" s="450"/>
      <c r="C192" s="449"/>
      <c r="D192" s="446">
        <v>62.5</v>
      </c>
      <c r="E192" s="446" t="s">
        <v>938</v>
      </c>
      <c r="F192" s="446" t="s">
        <v>49</v>
      </c>
      <c r="G192" s="446" t="s">
        <v>49</v>
      </c>
      <c r="H192" s="439"/>
      <c r="I192" s="439"/>
      <c r="J192" s="439"/>
      <c r="K192" s="684"/>
      <c r="L192" s="424">
        <f>COUNTIF(F191:G196,"Parent A")</f>
        <v>6</v>
      </c>
      <c r="M192" s="684">
        <f>COUNTIF(F191:G196,"Parent B")</f>
        <v>6</v>
      </c>
    </row>
    <row r="193" spans="1:13" x14ac:dyDescent="0.25">
      <c r="A193" s="684"/>
      <c r="B193" s="450"/>
      <c r="C193" s="449"/>
      <c r="D193" s="446">
        <v>63.5</v>
      </c>
      <c r="E193" s="446" t="s">
        <v>939</v>
      </c>
      <c r="F193" s="446" t="s">
        <v>50</v>
      </c>
      <c r="G193" s="446" t="s">
        <v>50</v>
      </c>
      <c r="H193" s="439"/>
      <c r="I193" s="439"/>
      <c r="J193" s="439"/>
      <c r="K193" s="684"/>
      <c r="L193" s="424"/>
      <c r="M193" s="684"/>
    </row>
    <row r="194" spans="1:13" x14ac:dyDescent="0.25">
      <c r="A194" s="684"/>
      <c r="B194" s="450"/>
      <c r="C194" s="449"/>
      <c r="D194" s="446">
        <v>64.5</v>
      </c>
      <c r="E194" s="446" t="s">
        <v>940</v>
      </c>
      <c r="F194" s="446" t="s">
        <v>49</v>
      </c>
      <c r="G194" s="446" t="s">
        <v>49</v>
      </c>
      <c r="H194" s="439"/>
      <c r="I194" s="439"/>
      <c r="J194" s="439"/>
      <c r="K194" s="684"/>
      <c r="L194" s="424"/>
      <c r="M194" s="684"/>
    </row>
    <row r="195" spans="1:13" x14ac:dyDescent="0.25">
      <c r="A195" s="684"/>
      <c r="B195" s="450"/>
      <c r="C195" s="449"/>
      <c r="D195" s="446">
        <v>65.5</v>
      </c>
      <c r="E195" s="446" t="s">
        <v>941</v>
      </c>
      <c r="F195" s="460" t="s">
        <v>50</v>
      </c>
      <c r="G195" s="461" t="s">
        <v>50</v>
      </c>
      <c r="H195" s="439"/>
      <c r="I195" s="439"/>
      <c r="J195" s="439"/>
      <c r="K195" s="684"/>
      <c r="L195" s="424"/>
      <c r="M195" s="684"/>
    </row>
    <row r="196" spans="1:13" x14ac:dyDescent="0.25">
      <c r="A196" s="632"/>
      <c r="B196" s="454"/>
      <c r="C196" s="442"/>
      <c r="D196" s="455">
        <v>66.5</v>
      </c>
      <c r="E196" s="455" t="s">
        <v>942</v>
      </c>
      <c r="F196" s="456" t="s">
        <v>49</v>
      </c>
      <c r="G196" s="456" t="s">
        <v>49</v>
      </c>
      <c r="H196" s="455"/>
      <c r="I196" s="455"/>
      <c r="J196" s="455"/>
      <c r="K196" s="632"/>
      <c r="L196" s="457"/>
      <c r="M196" s="632"/>
    </row>
    <row r="197" spans="1:13" x14ac:dyDescent="0.25">
      <c r="A197" s="684"/>
      <c r="B197" s="450"/>
      <c r="C197" s="449"/>
      <c r="D197" s="446"/>
      <c r="E197" s="446"/>
      <c r="F197" s="446"/>
      <c r="G197" s="450"/>
      <c r="H197" s="450"/>
      <c r="I197" s="450"/>
      <c r="J197" s="450"/>
      <c r="K197" s="684"/>
      <c r="L197" s="424"/>
      <c r="M197" s="684"/>
    </row>
    <row r="198" spans="1:13" x14ac:dyDescent="0.25">
      <c r="A198" s="458">
        <v>0.4</v>
      </c>
      <c r="B198" s="450">
        <v>0.4</v>
      </c>
      <c r="C198" s="716" t="s">
        <v>949</v>
      </c>
      <c r="D198" s="446">
        <v>11.4</v>
      </c>
      <c r="E198" s="446" t="s">
        <v>936</v>
      </c>
      <c r="F198" s="446" t="s">
        <v>50</v>
      </c>
      <c r="G198" s="450" t="s">
        <v>49</v>
      </c>
      <c r="H198" s="450" t="s">
        <v>50</v>
      </c>
      <c r="I198" s="450" t="s">
        <v>49</v>
      </c>
      <c r="J198" s="450" t="s">
        <v>50</v>
      </c>
      <c r="K198" s="684">
        <v>5</v>
      </c>
      <c r="L198" s="424">
        <f>K198*A198</f>
        <v>2</v>
      </c>
      <c r="M198" s="684">
        <f>K198-L198</f>
        <v>3</v>
      </c>
    </row>
    <row r="199" spans="1:13" x14ac:dyDescent="0.25">
      <c r="A199" s="684"/>
      <c r="B199" s="450"/>
      <c r="C199" s="449"/>
      <c r="D199" s="446"/>
      <c r="E199" s="446"/>
      <c r="F199" s="446"/>
      <c r="G199" s="450"/>
      <c r="H199" s="450"/>
      <c r="I199" s="450"/>
      <c r="J199" s="450"/>
      <c r="K199" s="684"/>
      <c r="L199" s="424"/>
      <c r="M199" s="684"/>
    </row>
    <row r="200" spans="1:13" x14ac:dyDescent="0.25">
      <c r="A200" s="684"/>
      <c r="B200" s="450"/>
      <c r="C200" s="449"/>
      <c r="D200" s="446">
        <v>21.4</v>
      </c>
      <c r="E200" s="446" t="s">
        <v>936</v>
      </c>
      <c r="F200" s="446" t="s">
        <v>50</v>
      </c>
      <c r="G200" s="450" t="s">
        <v>50</v>
      </c>
      <c r="H200" s="450" t="s">
        <v>50</v>
      </c>
      <c r="I200" s="450" t="s">
        <v>50</v>
      </c>
      <c r="J200" s="450" t="s">
        <v>50</v>
      </c>
      <c r="K200" s="684">
        <v>10</v>
      </c>
      <c r="L200" s="424">
        <f>K200*A198</f>
        <v>4</v>
      </c>
      <c r="M200" s="684">
        <f>K200-L200</f>
        <v>6</v>
      </c>
    </row>
    <row r="201" spans="1:13" x14ac:dyDescent="0.25">
      <c r="A201" s="684"/>
      <c r="B201" s="450"/>
      <c r="C201" s="449"/>
      <c r="D201" s="446">
        <v>22.4</v>
      </c>
      <c r="E201" s="446" t="s">
        <v>938</v>
      </c>
      <c r="F201" s="446" t="s">
        <v>49</v>
      </c>
      <c r="G201" s="450" t="s">
        <v>49</v>
      </c>
      <c r="H201" s="452" t="s">
        <v>50</v>
      </c>
      <c r="I201" s="450" t="s">
        <v>49</v>
      </c>
      <c r="J201" s="452" t="s">
        <v>49</v>
      </c>
      <c r="K201" s="684"/>
      <c r="L201" s="424">
        <f>COUNTIF(F200:J201,"Parent A")</f>
        <v>4</v>
      </c>
      <c r="M201" s="684">
        <f>COUNTIF(F200:J201,"Parent B")</f>
        <v>6</v>
      </c>
    </row>
    <row r="202" spans="1:13" x14ac:dyDescent="0.25">
      <c r="A202" s="684"/>
      <c r="B202" s="450"/>
      <c r="C202" s="449"/>
      <c r="D202" s="446"/>
      <c r="E202" s="446"/>
      <c r="F202" s="446"/>
      <c r="G202" s="450"/>
      <c r="H202" s="450"/>
      <c r="I202" s="450"/>
      <c r="J202" s="450"/>
      <c r="K202" s="684"/>
      <c r="L202" s="424"/>
      <c r="M202" s="684"/>
    </row>
    <row r="203" spans="1:13" x14ac:dyDescent="0.25">
      <c r="A203" s="684"/>
      <c r="B203" s="450"/>
      <c r="C203" s="449"/>
      <c r="D203" s="446">
        <v>31.4</v>
      </c>
      <c r="E203" s="446" t="s">
        <v>936</v>
      </c>
      <c r="F203" s="446" t="s">
        <v>50</v>
      </c>
      <c r="G203" s="446" t="s">
        <v>50</v>
      </c>
      <c r="H203" s="453" t="s">
        <v>50</v>
      </c>
      <c r="I203" s="446" t="s">
        <v>50</v>
      </c>
      <c r="J203" s="446" t="s">
        <v>50</v>
      </c>
      <c r="K203" s="684">
        <v>15</v>
      </c>
      <c r="L203" s="424">
        <f>K203*A198</f>
        <v>6</v>
      </c>
      <c r="M203" s="684">
        <f>K203-L203</f>
        <v>9</v>
      </c>
    </row>
    <row r="204" spans="1:13" x14ac:dyDescent="0.25">
      <c r="A204" s="684"/>
      <c r="B204" s="450"/>
      <c r="C204" s="449"/>
      <c r="D204" s="446">
        <v>32.4</v>
      </c>
      <c r="E204" s="446" t="s">
        <v>938</v>
      </c>
      <c r="F204" s="446" t="s">
        <v>49</v>
      </c>
      <c r="G204" s="446" t="s">
        <v>49</v>
      </c>
      <c r="H204" s="446" t="s">
        <v>49</v>
      </c>
      <c r="I204" s="446" t="s">
        <v>49</v>
      </c>
      <c r="J204" s="453" t="s">
        <v>49</v>
      </c>
      <c r="K204" s="684"/>
      <c r="L204" s="424">
        <f>COUNTIF(F203:J205,"Parent A")</f>
        <v>6</v>
      </c>
      <c r="M204" s="684">
        <f>COUNTIF(F203:J205,"Parent B")</f>
        <v>9</v>
      </c>
    </row>
    <row r="205" spans="1:13" x14ac:dyDescent="0.25">
      <c r="A205" s="684"/>
      <c r="B205" s="450"/>
      <c r="C205" s="449"/>
      <c r="D205" s="446">
        <v>33.4</v>
      </c>
      <c r="E205" s="446" t="s">
        <v>939</v>
      </c>
      <c r="F205" s="446" t="s">
        <v>50</v>
      </c>
      <c r="G205" s="446" t="s">
        <v>50</v>
      </c>
      <c r="H205" s="453" t="s">
        <v>49</v>
      </c>
      <c r="I205" s="446" t="s">
        <v>50</v>
      </c>
      <c r="J205" s="453" t="s">
        <v>50</v>
      </c>
      <c r="K205" s="684"/>
      <c r="L205" s="424"/>
      <c r="M205" s="684"/>
    </row>
    <row r="206" spans="1:13" x14ac:dyDescent="0.25">
      <c r="A206" s="684"/>
      <c r="B206" s="450"/>
      <c r="C206" s="449"/>
      <c r="D206" s="446"/>
      <c r="E206" s="446"/>
      <c r="F206" s="446"/>
      <c r="G206" s="450"/>
      <c r="H206" s="450"/>
      <c r="I206" s="450"/>
      <c r="J206" s="450"/>
      <c r="K206" s="684"/>
      <c r="L206" s="424"/>
      <c r="M206" s="684"/>
    </row>
    <row r="207" spans="1:13" x14ac:dyDescent="0.25">
      <c r="A207" s="684"/>
      <c r="B207" s="450"/>
      <c r="C207" s="449"/>
      <c r="D207" s="446">
        <v>41.4</v>
      </c>
      <c r="E207" s="446" t="s">
        <v>936</v>
      </c>
      <c r="F207" s="446" t="s">
        <v>50</v>
      </c>
      <c r="G207" s="446" t="s">
        <v>50</v>
      </c>
      <c r="H207" s="446" t="s">
        <v>50</v>
      </c>
      <c r="I207" s="446" t="s">
        <v>50</v>
      </c>
      <c r="J207" s="446" t="s">
        <v>50</v>
      </c>
      <c r="K207" s="684">
        <v>20</v>
      </c>
      <c r="L207" s="424">
        <f>K207*A198</f>
        <v>8</v>
      </c>
      <c r="M207" s="684">
        <f>K207-L207</f>
        <v>12</v>
      </c>
    </row>
    <row r="208" spans="1:13" x14ac:dyDescent="0.25">
      <c r="A208" s="684"/>
      <c r="B208" s="450"/>
      <c r="C208" s="449"/>
      <c r="D208" s="446">
        <v>42.4</v>
      </c>
      <c r="E208" s="446" t="s">
        <v>938</v>
      </c>
      <c r="F208" s="446" t="s">
        <v>49</v>
      </c>
      <c r="G208" s="446" t="s">
        <v>49</v>
      </c>
      <c r="H208" s="446" t="s">
        <v>49</v>
      </c>
      <c r="I208" s="446" t="s">
        <v>49</v>
      </c>
      <c r="J208" s="446" t="s">
        <v>49</v>
      </c>
      <c r="K208" s="684"/>
      <c r="L208" s="424">
        <f>COUNTIF(F207:J210,"Parent A")</f>
        <v>8</v>
      </c>
      <c r="M208" s="684">
        <f>COUNTIF(F207:J210,"Parent B")</f>
        <v>12</v>
      </c>
    </row>
    <row r="209" spans="1:13" x14ac:dyDescent="0.25">
      <c r="A209" s="684"/>
      <c r="B209" s="450"/>
      <c r="C209" s="449"/>
      <c r="D209" s="446">
        <v>43.4</v>
      </c>
      <c r="E209" s="446" t="s">
        <v>939</v>
      </c>
      <c r="F209" s="453" t="s">
        <v>50</v>
      </c>
      <c r="G209" s="446" t="s">
        <v>50</v>
      </c>
      <c r="H209" s="453" t="s">
        <v>50</v>
      </c>
      <c r="I209" s="446" t="s">
        <v>50</v>
      </c>
      <c r="J209" s="453" t="s">
        <v>50</v>
      </c>
      <c r="K209" s="684"/>
      <c r="L209" s="424"/>
      <c r="M209" s="684"/>
    </row>
    <row r="210" spans="1:13" x14ac:dyDescent="0.25">
      <c r="A210" s="684"/>
      <c r="B210" s="450"/>
      <c r="C210" s="449"/>
      <c r="D210" s="446">
        <v>44.4</v>
      </c>
      <c r="E210" s="446" t="s">
        <v>940</v>
      </c>
      <c r="F210" s="453" t="s">
        <v>49</v>
      </c>
      <c r="G210" s="446" t="s">
        <v>50</v>
      </c>
      <c r="H210" s="453" t="s">
        <v>49</v>
      </c>
      <c r="I210" s="446" t="s">
        <v>50</v>
      </c>
      <c r="J210" s="453" t="s">
        <v>49</v>
      </c>
      <c r="K210" s="684"/>
      <c r="L210" s="424"/>
      <c r="M210" s="684"/>
    </row>
    <row r="211" spans="1:13" x14ac:dyDescent="0.25">
      <c r="A211" s="684"/>
      <c r="B211" s="450"/>
      <c r="C211" s="449"/>
      <c r="D211" s="446"/>
      <c r="E211" s="446"/>
      <c r="F211" s="446"/>
      <c r="G211" s="450"/>
      <c r="H211" s="450"/>
      <c r="I211" s="450"/>
      <c r="J211" s="450"/>
      <c r="K211" s="684"/>
      <c r="L211" s="424"/>
      <c r="M211" s="684"/>
    </row>
    <row r="212" spans="1:13" x14ac:dyDescent="0.25">
      <c r="A212" s="684"/>
      <c r="B212" s="450"/>
      <c r="C212" s="449"/>
      <c r="D212" s="446">
        <v>51.4</v>
      </c>
      <c r="E212" s="446" t="s">
        <v>936</v>
      </c>
      <c r="F212" s="446" t="s">
        <v>50</v>
      </c>
      <c r="G212" s="446" t="s">
        <v>50</v>
      </c>
      <c r="H212" s="446" t="s">
        <v>50</v>
      </c>
      <c r="I212" s="446" t="s">
        <v>50</v>
      </c>
      <c r="J212" s="446" t="s">
        <v>50</v>
      </c>
      <c r="K212" s="684">
        <v>25</v>
      </c>
      <c r="L212" s="424">
        <f>K212*A198</f>
        <v>10</v>
      </c>
      <c r="M212" s="684">
        <f>K212-L212</f>
        <v>15</v>
      </c>
    </row>
    <row r="213" spans="1:13" x14ac:dyDescent="0.25">
      <c r="A213" s="684"/>
      <c r="B213" s="450"/>
      <c r="C213" s="449"/>
      <c r="D213" s="446">
        <v>52.4</v>
      </c>
      <c r="E213" s="446" t="s">
        <v>938</v>
      </c>
      <c r="F213" s="446" t="s">
        <v>49</v>
      </c>
      <c r="G213" s="446" t="s">
        <v>49</v>
      </c>
      <c r="H213" s="446" t="s">
        <v>49</v>
      </c>
      <c r="I213" s="446" t="s">
        <v>49</v>
      </c>
      <c r="J213" s="446" t="s">
        <v>49</v>
      </c>
      <c r="K213" s="684"/>
      <c r="L213" s="424">
        <f>COUNTIF(F212:J216,"Parent A")</f>
        <v>10</v>
      </c>
      <c r="M213" s="684">
        <f>COUNTIF(F212:J216,"Parent B")</f>
        <v>15</v>
      </c>
    </row>
    <row r="214" spans="1:13" x14ac:dyDescent="0.25">
      <c r="A214" s="684"/>
      <c r="B214" s="450"/>
      <c r="C214" s="449"/>
      <c r="D214" s="446">
        <v>53.4</v>
      </c>
      <c r="E214" s="446" t="s">
        <v>939</v>
      </c>
      <c r="F214" s="446" t="s">
        <v>50</v>
      </c>
      <c r="G214" s="446" t="s">
        <v>50</v>
      </c>
      <c r="H214" s="446" t="s">
        <v>50</v>
      </c>
      <c r="I214" s="446" t="s">
        <v>50</v>
      </c>
      <c r="J214" s="446" t="s">
        <v>50</v>
      </c>
      <c r="K214" s="684"/>
      <c r="L214" s="424"/>
      <c r="M214" s="684"/>
    </row>
    <row r="215" spans="1:13" x14ac:dyDescent="0.25">
      <c r="A215" s="684"/>
      <c r="B215" s="450"/>
      <c r="C215" s="449"/>
      <c r="D215" s="446">
        <v>54.4</v>
      </c>
      <c r="E215" s="446" t="s">
        <v>940</v>
      </c>
      <c r="F215" s="446" t="s">
        <v>49</v>
      </c>
      <c r="G215" s="446" t="s">
        <v>49</v>
      </c>
      <c r="H215" s="446" t="s">
        <v>49</v>
      </c>
      <c r="I215" s="446" t="s">
        <v>49</v>
      </c>
      <c r="J215" s="446" t="s">
        <v>49</v>
      </c>
      <c r="K215" s="684"/>
      <c r="L215" s="424"/>
      <c r="M215" s="684"/>
    </row>
    <row r="216" spans="1:13" x14ac:dyDescent="0.25">
      <c r="A216" s="684"/>
      <c r="B216" s="450"/>
      <c r="C216" s="449"/>
      <c r="D216" s="446">
        <v>55.4</v>
      </c>
      <c r="E216" s="446" t="s">
        <v>941</v>
      </c>
      <c r="F216" s="446" t="s">
        <v>50</v>
      </c>
      <c r="G216" s="446" t="s">
        <v>50</v>
      </c>
      <c r="H216" s="446" t="s">
        <v>50</v>
      </c>
      <c r="I216" s="446" t="s">
        <v>50</v>
      </c>
      <c r="J216" s="446" t="s">
        <v>50</v>
      </c>
      <c r="K216" s="684"/>
      <c r="L216" s="424"/>
      <c r="M216" s="684"/>
    </row>
    <row r="217" spans="1:13" x14ac:dyDescent="0.25">
      <c r="A217" s="684"/>
      <c r="B217" s="450"/>
      <c r="C217" s="449"/>
      <c r="D217" s="446"/>
      <c r="E217" s="446"/>
      <c r="F217" s="446"/>
      <c r="G217" s="450"/>
      <c r="H217" s="450"/>
      <c r="I217" s="450"/>
      <c r="J217" s="450"/>
      <c r="K217" s="684"/>
      <c r="L217" s="424"/>
      <c r="M217" s="684"/>
    </row>
    <row r="218" spans="1:13" x14ac:dyDescent="0.25">
      <c r="A218" s="684"/>
      <c r="B218" s="450"/>
      <c r="C218" s="449"/>
      <c r="D218" s="446">
        <v>61.4</v>
      </c>
      <c r="E218" s="446" t="s">
        <v>936</v>
      </c>
      <c r="F218" s="446" t="s">
        <v>50</v>
      </c>
      <c r="G218" s="446" t="s">
        <v>50</v>
      </c>
      <c r="H218" s="446" t="s">
        <v>50</v>
      </c>
      <c r="I218" s="446" t="s">
        <v>50</v>
      </c>
      <c r="J218" s="446" t="s">
        <v>50</v>
      </c>
      <c r="K218" s="684">
        <v>30</v>
      </c>
      <c r="L218" s="424">
        <f>K218*A198</f>
        <v>12</v>
      </c>
      <c r="M218" s="684">
        <f>K218-L218</f>
        <v>18</v>
      </c>
    </row>
    <row r="219" spans="1:13" x14ac:dyDescent="0.25">
      <c r="A219" s="684"/>
      <c r="B219" s="450"/>
      <c r="C219" s="449"/>
      <c r="D219" s="446">
        <v>62.4</v>
      </c>
      <c r="E219" s="446" t="s">
        <v>938</v>
      </c>
      <c r="F219" s="446" t="s">
        <v>49</v>
      </c>
      <c r="G219" s="446" t="s">
        <v>49</v>
      </c>
      <c r="H219" s="446" t="s">
        <v>49</v>
      </c>
      <c r="I219" s="446" t="s">
        <v>49</v>
      </c>
      <c r="J219" s="446" t="s">
        <v>49</v>
      </c>
      <c r="K219" s="684"/>
      <c r="L219" s="424">
        <f>COUNTIF(F218:J223,"Parent A")</f>
        <v>12</v>
      </c>
      <c r="M219" s="684">
        <f>COUNTIF(F218:J223,"Parent B")</f>
        <v>18</v>
      </c>
    </row>
    <row r="220" spans="1:13" x14ac:dyDescent="0.25">
      <c r="A220" s="684"/>
      <c r="B220" s="450"/>
      <c r="C220" s="449"/>
      <c r="D220" s="446">
        <v>63.4</v>
      </c>
      <c r="E220" s="446" t="s">
        <v>939</v>
      </c>
      <c r="F220" s="446" t="s">
        <v>50</v>
      </c>
      <c r="G220" s="446" t="s">
        <v>50</v>
      </c>
      <c r="H220" s="446" t="s">
        <v>50</v>
      </c>
      <c r="I220" s="446" t="s">
        <v>50</v>
      </c>
      <c r="J220" s="446" t="s">
        <v>50</v>
      </c>
      <c r="K220" s="684"/>
      <c r="L220" s="424"/>
      <c r="M220" s="684"/>
    </row>
    <row r="221" spans="1:13" x14ac:dyDescent="0.25">
      <c r="A221" s="684"/>
      <c r="B221" s="450"/>
      <c r="C221" s="449"/>
      <c r="D221" s="446">
        <v>64.400000000000006</v>
      </c>
      <c r="E221" s="446" t="s">
        <v>940</v>
      </c>
      <c r="F221" s="446" t="s">
        <v>49</v>
      </c>
      <c r="G221" s="446" t="s">
        <v>49</v>
      </c>
      <c r="H221" s="446" t="s">
        <v>49</v>
      </c>
      <c r="I221" s="446" t="s">
        <v>49</v>
      </c>
      <c r="J221" s="446" t="s">
        <v>49</v>
      </c>
      <c r="K221" s="684"/>
      <c r="L221" s="424"/>
      <c r="M221" s="684"/>
    </row>
    <row r="222" spans="1:13" x14ac:dyDescent="0.25">
      <c r="A222" s="684"/>
      <c r="B222" s="450"/>
      <c r="C222" s="449"/>
      <c r="D222" s="446">
        <v>65.400000000000006</v>
      </c>
      <c r="E222" s="446" t="s">
        <v>941</v>
      </c>
      <c r="F222" s="446" t="s">
        <v>50</v>
      </c>
      <c r="G222" s="446" t="s">
        <v>50</v>
      </c>
      <c r="H222" s="446" t="s">
        <v>50</v>
      </c>
      <c r="I222" s="446" t="s">
        <v>50</v>
      </c>
      <c r="J222" s="446" t="s">
        <v>50</v>
      </c>
      <c r="K222" s="684"/>
      <c r="L222" s="424"/>
      <c r="M222" s="684"/>
    </row>
    <row r="223" spans="1:13" x14ac:dyDescent="0.25">
      <c r="A223" s="632"/>
      <c r="B223" s="454"/>
      <c r="C223" s="442"/>
      <c r="D223" s="455">
        <v>66.400000000000006</v>
      </c>
      <c r="E223" s="455" t="s">
        <v>942</v>
      </c>
      <c r="F223" s="455" t="s">
        <v>50</v>
      </c>
      <c r="G223" s="456" t="s">
        <v>49</v>
      </c>
      <c r="H223" s="455" t="s">
        <v>50</v>
      </c>
      <c r="I223" s="456" t="s">
        <v>49</v>
      </c>
      <c r="J223" s="455" t="s">
        <v>50</v>
      </c>
      <c r="K223" s="632"/>
      <c r="L223" s="457"/>
      <c r="M223" s="632"/>
    </row>
    <row r="224" spans="1:13" x14ac:dyDescent="0.25">
      <c r="A224" s="684"/>
      <c r="B224" s="450"/>
      <c r="C224" s="449"/>
      <c r="D224" s="446"/>
      <c r="E224" s="446"/>
      <c r="F224" s="446"/>
      <c r="G224" s="450"/>
      <c r="H224" s="450"/>
      <c r="I224" s="857"/>
      <c r="J224" s="857"/>
      <c r="K224" s="684"/>
      <c r="L224" s="424"/>
      <c r="M224" s="684"/>
    </row>
    <row r="225" spans="1:13" x14ac:dyDescent="0.25">
      <c r="A225" s="458">
        <v>0.33333333333333331</v>
      </c>
      <c r="B225" s="450">
        <v>0.33329999999999999</v>
      </c>
      <c r="C225" s="716" t="s">
        <v>950</v>
      </c>
      <c r="D225" s="446">
        <v>11.3</v>
      </c>
      <c r="E225" s="446" t="s">
        <v>936</v>
      </c>
      <c r="F225" s="446" t="s">
        <v>50</v>
      </c>
      <c r="G225" s="452" t="s">
        <v>49</v>
      </c>
      <c r="H225" s="452" t="s">
        <v>50</v>
      </c>
      <c r="I225" s="439"/>
      <c r="J225" s="437"/>
      <c r="K225" s="684">
        <v>3</v>
      </c>
      <c r="L225" s="424">
        <f>K225*A225</f>
        <v>1</v>
      </c>
      <c r="M225" s="684">
        <f>K225-L225</f>
        <v>2</v>
      </c>
    </row>
    <row r="226" spans="1:13" x14ac:dyDescent="0.25">
      <c r="A226" s="684"/>
      <c r="B226" s="450"/>
      <c r="C226" s="449"/>
      <c r="D226" s="446"/>
      <c r="E226" s="446"/>
      <c r="F226" s="446"/>
      <c r="G226" s="450"/>
      <c r="H226" s="450"/>
      <c r="I226" s="439"/>
      <c r="J226" s="437"/>
      <c r="K226" s="684"/>
      <c r="L226" s="424"/>
      <c r="M226" s="684"/>
    </row>
    <row r="227" spans="1:13" x14ac:dyDescent="0.25">
      <c r="A227" s="684"/>
      <c r="B227" s="450"/>
      <c r="C227" s="449"/>
      <c r="D227" s="446">
        <v>21.3</v>
      </c>
      <c r="E227" s="446" t="s">
        <v>936</v>
      </c>
      <c r="F227" s="453" t="s">
        <v>50</v>
      </c>
      <c r="G227" s="452" t="s">
        <v>50</v>
      </c>
      <c r="H227" s="450" t="s">
        <v>50</v>
      </c>
      <c r="I227" s="439"/>
      <c r="J227" s="437"/>
      <c r="K227" s="684">
        <v>6</v>
      </c>
      <c r="L227" s="424">
        <f>K227*A225</f>
        <v>2</v>
      </c>
      <c r="M227" s="684">
        <f>K227-L227</f>
        <v>4</v>
      </c>
    </row>
    <row r="228" spans="1:13" x14ac:dyDescent="0.25">
      <c r="A228" s="684"/>
      <c r="B228" s="450"/>
      <c r="C228" s="449"/>
      <c r="D228" s="446">
        <v>22.3</v>
      </c>
      <c r="E228" s="446" t="s">
        <v>938</v>
      </c>
      <c r="F228" s="453" t="s">
        <v>49</v>
      </c>
      <c r="G228" s="452" t="s">
        <v>50</v>
      </c>
      <c r="H228" s="452" t="s">
        <v>49</v>
      </c>
      <c r="I228" s="439"/>
      <c r="J228" s="437"/>
      <c r="K228" s="684"/>
      <c r="L228" s="459">
        <f>COUNTIF(F227:H228,"Parent A")</f>
        <v>2</v>
      </c>
      <c r="M228" s="684">
        <f>COUNTIF(F227:H228,"Parent B")</f>
        <v>4</v>
      </c>
    </row>
    <row r="229" spans="1:13" x14ac:dyDescent="0.25">
      <c r="A229" s="684"/>
      <c r="B229" s="450"/>
      <c r="C229" s="449"/>
      <c r="D229" s="446"/>
      <c r="E229" s="446"/>
      <c r="F229" s="446"/>
      <c r="G229" s="450"/>
      <c r="H229" s="450"/>
      <c r="I229" s="439"/>
      <c r="J229" s="437"/>
      <c r="K229" s="684"/>
      <c r="L229" s="424"/>
      <c r="M229" s="684"/>
    </row>
    <row r="230" spans="1:13" x14ac:dyDescent="0.25">
      <c r="A230" s="684"/>
      <c r="B230" s="450"/>
      <c r="C230" s="449"/>
      <c r="D230" s="446">
        <v>31.3</v>
      </c>
      <c r="E230" s="446" t="s">
        <v>936</v>
      </c>
      <c r="F230" s="446" t="s">
        <v>50</v>
      </c>
      <c r="G230" s="446" t="s">
        <v>50</v>
      </c>
      <c r="H230" s="446" t="s">
        <v>50</v>
      </c>
      <c r="I230" s="439"/>
      <c r="J230" s="439"/>
      <c r="K230" s="684">
        <v>9</v>
      </c>
      <c r="L230" s="424">
        <f>K230*A225</f>
        <v>3</v>
      </c>
      <c r="M230" s="684">
        <f>K230-L230</f>
        <v>6</v>
      </c>
    </row>
    <row r="231" spans="1:13" x14ac:dyDescent="0.25">
      <c r="A231" s="684"/>
      <c r="B231" s="450"/>
      <c r="C231" s="449"/>
      <c r="D231" s="446">
        <v>32.299999999999997</v>
      </c>
      <c r="E231" s="446" t="s">
        <v>938</v>
      </c>
      <c r="F231" s="446" t="s">
        <v>49</v>
      </c>
      <c r="G231" s="446" t="s">
        <v>49</v>
      </c>
      <c r="H231" s="446" t="s">
        <v>49</v>
      </c>
      <c r="I231" s="439"/>
      <c r="J231" s="439"/>
      <c r="K231" s="684"/>
      <c r="L231" s="459">
        <f>COUNTIF(F230:H232,"Parent A")</f>
        <v>3</v>
      </c>
      <c r="M231" s="684">
        <f>COUNTIF(F230:H232,"Parent B")</f>
        <v>6</v>
      </c>
    </row>
    <row r="232" spans="1:13" x14ac:dyDescent="0.25">
      <c r="A232" s="684"/>
      <c r="B232" s="450"/>
      <c r="C232" s="449"/>
      <c r="D232" s="446">
        <v>33.299999999999997</v>
      </c>
      <c r="E232" s="446" t="s">
        <v>939</v>
      </c>
      <c r="F232" s="446" t="s">
        <v>50</v>
      </c>
      <c r="G232" s="446" t="s">
        <v>50</v>
      </c>
      <c r="H232" s="446" t="s">
        <v>50</v>
      </c>
      <c r="I232" s="439"/>
      <c r="J232" s="439"/>
      <c r="K232" s="684"/>
      <c r="L232" s="424"/>
      <c r="M232" s="684"/>
    </row>
    <row r="233" spans="1:13" x14ac:dyDescent="0.25">
      <c r="A233" s="684"/>
      <c r="B233" s="450"/>
      <c r="C233" s="449"/>
      <c r="D233" s="446"/>
      <c r="E233" s="446"/>
      <c r="F233" s="446"/>
      <c r="G233" s="450"/>
      <c r="H233" s="450"/>
      <c r="I233" s="439"/>
      <c r="J233" s="437"/>
      <c r="K233" s="684"/>
      <c r="L233" s="424"/>
      <c r="M233" s="684"/>
    </row>
    <row r="234" spans="1:13" x14ac:dyDescent="0.25">
      <c r="A234" s="684"/>
      <c r="B234" s="450"/>
      <c r="C234" s="449"/>
      <c r="D234" s="446">
        <v>41.3</v>
      </c>
      <c r="E234" s="446" t="s">
        <v>936</v>
      </c>
      <c r="F234" s="446" t="s">
        <v>50</v>
      </c>
      <c r="G234" s="446" t="s">
        <v>50</v>
      </c>
      <c r="H234" s="446" t="s">
        <v>50</v>
      </c>
      <c r="I234" s="439"/>
      <c r="J234" s="439"/>
      <c r="K234" s="684">
        <v>12</v>
      </c>
      <c r="L234" s="424">
        <f>K234*A225</f>
        <v>4</v>
      </c>
      <c r="M234" s="684">
        <f>K234-L234</f>
        <v>8</v>
      </c>
    </row>
    <row r="235" spans="1:13" x14ac:dyDescent="0.25">
      <c r="A235" s="684"/>
      <c r="B235" s="450"/>
      <c r="C235" s="449"/>
      <c r="D235" s="446">
        <v>42.3</v>
      </c>
      <c r="E235" s="446" t="s">
        <v>938</v>
      </c>
      <c r="F235" s="446" t="s">
        <v>49</v>
      </c>
      <c r="G235" s="446" t="s">
        <v>49</v>
      </c>
      <c r="H235" s="446" t="s">
        <v>49</v>
      </c>
      <c r="I235" s="439"/>
      <c r="J235" s="439"/>
      <c r="K235" s="684"/>
      <c r="L235" s="459">
        <f>COUNTIF(F234:H237,"Parent A")</f>
        <v>4</v>
      </c>
      <c r="M235" s="684">
        <f>COUNTIF(F234:H237,"Parent B")</f>
        <v>8</v>
      </c>
    </row>
    <row r="236" spans="1:13" x14ac:dyDescent="0.25">
      <c r="A236" s="684"/>
      <c r="B236" s="450"/>
      <c r="C236" s="449"/>
      <c r="D236" s="446">
        <v>43.3</v>
      </c>
      <c r="E236" s="446" t="s">
        <v>939</v>
      </c>
      <c r="F236" s="446" t="s">
        <v>50</v>
      </c>
      <c r="G236" s="453" t="s">
        <v>50</v>
      </c>
      <c r="H236" s="453" t="s">
        <v>50</v>
      </c>
      <c r="I236" s="439"/>
      <c r="J236" s="439"/>
      <c r="K236" s="684"/>
      <c r="L236" s="424"/>
      <c r="M236" s="684"/>
    </row>
    <row r="237" spans="1:13" x14ac:dyDescent="0.25">
      <c r="A237" s="684"/>
      <c r="B237" s="450"/>
      <c r="C237" s="449"/>
      <c r="D237" s="446">
        <v>44.3</v>
      </c>
      <c r="E237" s="446" t="s">
        <v>940</v>
      </c>
      <c r="F237" s="446" t="s">
        <v>50</v>
      </c>
      <c r="G237" s="453" t="s">
        <v>49</v>
      </c>
      <c r="H237" s="453" t="s">
        <v>50</v>
      </c>
      <c r="I237" s="439"/>
      <c r="J237" s="439"/>
      <c r="K237" s="684"/>
      <c r="L237" s="424"/>
      <c r="M237" s="684"/>
    </row>
    <row r="238" spans="1:13" x14ac:dyDescent="0.25">
      <c r="A238" s="684"/>
      <c r="B238" s="450"/>
      <c r="C238" s="449"/>
      <c r="D238" s="446"/>
      <c r="E238" s="446"/>
      <c r="F238" s="446"/>
      <c r="G238" s="450"/>
      <c r="H238" s="450"/>
      <c r="I238" s="439"/>
      <c r="J238" s="437"/>
      <c r="K238" s="684"/>
      <c r="L238" s="424"/>
      <c r="M238" s="684"/>
    </row>
    <row r="239" spans="1:13" x14ac:dyDescent="0.25">
      <c r="A239" s="684"/>
      <c r="B239" s="450"/>
      <c r="C239" s="449"/>
      <c r="D239" s="446">
        <v>51.3</v>
      </c>
      <c r="E239" s="446" t="s">
        <v>936</v>
      </c>
      <c r="F239" s="446" t="s">
        <v>50</v>
      </c>
      <c r="G239" s="446" t="s">
        <v>50</v>
      </c>
      <c r="H239" s="446" t="s">
        <v>50</v>
      </c>
      <c r="I239" s="439"/>
      <c r="J239" s="439"/>
      <c r="K239" s="684">
        <v>15</v>
      </c>
      <c r="L239" s="424">
        <f>K239*A225</f>
        <v>5</v>
      </c>
      <c r="M239" s="684">
        <f>K239-L239</f>
        <v>10</v>
      </c>
    </row>
    <row r="240" spans="1:13" x14ac:dyDescent="0.25">
      <c r="A240" s="684"/>
      <c r="B240" s="450"/>
      <c r="C240" s="449"/>
      <c r="D240" s="446">
        <v>52.3</v>
      </c>
      <c r="E240" s="446" t="s">
        <v>938</v>
      </c>
      <c r="F240" s="446" t="s">
        <v>49</v>
      </c>
      <c r="G240" s="453" t="s">
        <v>49</v>
      </c>
      <c r="H240" s="453" t="s">
        <v>49</v>
      </c>
      <c r="I240" s="439"/>
      <c r="J240" s="439"/>
      <c r="K240" s="684"/>
      <c r="L240" s="459">
        <f>COUNTIF(F239:H243,"Parent A")</f>
        <v>5</v>
      </c>
      <c r="M240" s="684">
        <f>COUNTIF(F239:H243,"Parent B")</f>
        <v>10</v>
      </c>
    </row>
    <row r="241" spans="1:13" x14ac:dyDescent="0.25">
      <c r="A241" s="684"/>
      <c r="B241" s="450"/>
      <c r="C241" s="449"/>
      <c r="D241" s="446">
        <v>53.3</v>
      </c>
      <c r="E241" s="446" t="s">
        <v>939</v>
      </c>
      <c r="F241" s="446" t="s">
        <v>50</v>
      </c>
      <c r="G241" s="446" t="s">
        <v>50</v>
      </c>
      <c r="H241" s="446" t="s">
        <v>50</v>
      </c>
      <c r="I241" s="439"/>
      <c r="J241" s="439"/>
      <c r="K241" s="684"/>
      <c r="L241" s="424"/>
      <c r="M241" s="684"/>
    </row>
    <row r="242" spans="1:13" x14ac:dyDescent="0.25">
      <c r="A242" s="684"/>
      <c r="B242" s="450"/>
      <c r="C242" s="449"/>
      <c r="D242" s="446">
        <v>54.3</v>
      </c>
      <c r="E242" s="446" t="s">
        <v>940</v>
      </c>
      <c r="F242" s="446" t="s">
        <v>50</v>
      </c>
      <c r="G242" s="446" t="s">
        <v>50</v>
      </c>
      <c r="H242" s="446" t="s">
        <v>50</v>
      </c>
      <c r="I242" s="439"/>
      <c r="J242" s="439"/>
      <c r="K242" s="684"/>
      <c r="L242" s="424"/>
      <c r="M242" s="684"/>
    </row>
    <row r="243" spans="1:13" x14ac:dyDescent="0.25">
      <c r="A243" s="684"/>
      <c r="B243" s="450"/>
      <c r="C243" s="449"/>
      <c r="D243" s="446">
        <v>55.3</v>
      </c>
      <c r="E243" s="446" t="s">
        <v>941</v>
      </c>
      <c r="F243" s="446" t="s">
        <v>49</v>
      </c>
      <c r="G243" s="453" t="s">
        <v>50</v>
      </c>
      <c r="H243" s="453" t="s">
        <v>49</v>
      </c>
      <c r="I243" s="439"/>
      <c r="J243" s="439"/>
      <c r="K243" s="684"/>
      <c r="L243" s="424"/>
      <c r="M243" s="684"/>
    </row>
    <row r="244" spans="1:13" x14ac:dyDescent="0.25">
      <c r="A244" s="684"/>
      <c r="B244" s="450"/>
      <c r="C244" s="449"/>
      <c r="D244" s="446"/>
      <c r="E244" s="446"/>
      <c r="F244" s="446"/>
      <c r="G244" s="450"/>
      <c r="H244" s="450"/>
      <c r="I244" s="439"/>
      <c r="J244" s="437"/>
      <c r="K244" s="684"/>
      <c r="L244" s="424"/>
      <c r="M244" s="684"/>
    </row>
    <row r="245" spans="1:13" x14ac:dyDescent="0.25">
      <c r="A245" s="684"/>
      <c r="B245" s="450"/>
      <c r="C245" s="449"/>
      <c r="D245" s="446">
        <v>61.3</v>
      </c>
      <c r="E245" s="446" t="s">
        <v>936</v>
      </c>
      <c r="F245" s="446" t="s">
        <v>50</v>
      </c>
      <c r="G245" s="446" t="s">
        <v>50</v>
      </c>
      <c r="H245" s="446" t="s">
        <v>50</v>
      </c>
      <c r="I245" s="439"/>
      <c r="J245" s="439"/>
      <c r="K245" s="684">
        <v>18</v>
      </c>
      <c r="L245" s="424">
        <f>K245*A225</f>
        <v>6</v>
      </c>
      <c r="M245" s="684">
        <f>K245-L245</f>
        <v>12</v>
      </c>
    </row>
    <row r="246" spans="1:13" x14ac:dyDescent="0.25">
      <c r="A246" s="684"/>
      <c r="B246" s="450"/>
      <c r="C246" s="449"/>
      <c r="D246" s="446">
        <v>62.3</v>
      </c>
      <c r="E246" s="446" t="s">
        <v>938</v>
      </c>
      <c r="F246" s="446" t="s">
        <v>49</v>
      </c>
      <c r="G246" s="446" t="s">
        <v>49</v>
      </c>
      <c r="H246" s="446" t="s">
        <v>49</v>
      </c>
      <c r="I246" s="439"/>
      <c r="J246" s="439"/>
      <c r="K246" s="684"/>
      <c r="L246" s="459">
        <f>COUNTIF(F245:H250,"Parent A")</f>
        <v>6</v>
      </c>
      <c r="M246" s="684">
        <f>COUNTIF(F245:H250,"Parent B")</f>
        <v>12</v>
      </c>
    </row>
    <row r="247" spans="1:13" x14ac:dyDescent="0.25">
      <c r="A247" s="684"/>
      <c r="B247" s="450"/>
      <c r="C247" s="449"/>
      <c r="D247" s="446">
        <v>63.3</v>
      </c>
      <c r="E247" s="446" t="s">
        <v>939</v>
      </c>
      <c r="F247" s="446" t="s">
        <v>50</v>
      </c>
      <c r="G247" s="446" t="s">
        <v>50</v>
      </c>
      <c r="H247" s="446" t="s">
        <v>50</v>
      </c>
      <c r="I247" s="439"/>
      <c r="J247" s="439"/>
      <c r="K247" s="684"/>
      <c r="L247" s="424"/>
      <c r="M247" s="684"/>
    </row>
    <row r="248" spans="1:13" x14ac:dyDescent="0.25">
      <c r="A248" s="684"/>
      <c r="B248" s="450"/>
      <c r="C248" s="449"/>
      <c r="D248" s="446">
        <v>64.3</v>
      </c>
      <c r="E248" s="446" t="s">
        <v>940</v>
      </c>
      <c r="F248" s="446" t="s">
        <v>50</v>
      </c>
      <c r="G248" s="446" t="s">
        <v>50</v>
      </c>
      <c r="H248" s="446" t="s">
        <v>50</v>
      </c>
      <c r="I248" s="439"/>
      <c r="J248" s="439"/>
      <c r="K248" s="684"/>
      <c r="L248" s="424"/>
      <c r="M248" s="684"/>
    </row>
    <row r="249" spans="1:13" x14ac:dyDescent="0.25">
      <c r="A249" s="684"/>
      <c r="B249" s="450"/>
      <c r="C249" s="449"/>
      <c r="D249" s="446">
        <v>65.3</v>
      </c>
      <c r="E249" s="446" t="s">
        <v>941</v>
      </c>
      <c r="F249" s="446" t="s">
        <v>49</v>
      </c>
      <c r="G249" s="446" t="s">
        <v>49</v>
      </c>
      <c r="H249" s="446" t="s">
        <v>49</v>
      </c>
      <c r="I249" s="439"/>
      <c r="J249" s="439"/>
      <c r="K249" s="684"/>
      <c r="L249" s="424"/>
      <c r="M249" s="684"/>
    </row>
    <row r="250" spans="1:13" x14ac:dyDescent="0.25">
      <c r="A250" s="632"/>
      <c r="B250" s="454"/>
      <c r="C250" s="442"/>
      <c r="D250" s="455">
        <v>66.3</v>
      </c>
      <c r="E250" s="455" t="s">
        <v>942</v>
      </c>
      <c r="F250" s="446" t="s">
        <v>50</v>
      </c>
      <c r="G250" s="446" t="s">
        <v>50</v>
      </c>
      <c r="H250" s="446" t="s">
        <v>50</v>
      </c>
      <c r="I250" s="455"/>
      <c r="J250" s="455"/>
      <c r="K250" s="632"/>
      <c r="L250" s="457"/>
      <c r="M250" s="632"/>
    </row>
    <row r="251" spans="1:13" x14ac:dyDescent="0.25">
      <c r="A251" s="856"/>
      <c r="B251" s="849"/>
      <c r="C251" s="858"/>
      <c r="D251" s="854"/>
      <c r="E251" s="854"/>
      <c r="F251" s="854"/>
      <c r="G251" s="854"/>
      <c r="H251" s="854"/>
      <c r="I251" s="854"/>
      <c r="J251" s="854"/>
      <c r="K251" s="856"/>
      <c r="L251" s="859"/>
      <c r="M251" s="856"/>
    </row>
    <row r="252" spans="1:13" x14ac:dyDescent="0.25">
      <c r="A252" s="458">
        <v>0.25</v>
      </c>
      <c r="B252" s="450">
        <v>0.25</v>
      </c>
      <c r="C252" s="716" t="s">
        <v>951</v>
      </c>
      <c r="D252" s="446">
        <v>11.25</v>
      </c>
      <c r="E252" s="446" t="s">
        <v>936</v>
      </c>
      <c r="F252" s="446" t="s">
        <v>50</v>
      </c>
      <c r="G252" s="446" t="s">
        <v>50</v>
      </c>
      <c r="H252" s="446" t="s">
        <v>50</v>
      </c>
      <c r="I252" s="446" t="s">
        <v>49</v>
      </c>
      <c r="J252" s="439"/>
      <c r="K252" s="684">
        <v>4</v>
      </c>
      <c r="L252" s="424">
        <f>K252*A252</f>
        <v>1</v>
      </c>
      <c r="M252" s="684">
        <f>K252-L252</f>
        <v>3</v>
      </c>
    </row>
    <row r="253" spans="1:13" x14ac:dyDescent="0.25">
      <c r="A253" s="684"/>
      <c r="B253" s="450"/>
      <c r="C253" s="449"/>
      <c r="D253" s="446"/>
      <c r="E253" s="446"/>
      <c r="F253" s="446"/>
      <c r="G253" s="450"/>
      <c r="H253" s="450"/>
      <c r="I253" s="450"/>
      <c r="J253" s="439"/>
      <c r="K253" s="684"/>
      <c r="L253" s="424"/>
      <c r="M253" s="684"/>
    </row>
    <row r="254" spans="1:13" x14ac:dyDescent="0.25">
      <c r="A254" s="684"/>
      <c r="B254" s="450"/>
      <c r="C254" s="449"/>
      <c r="D254" s="446">
        <v>21.25</v>
      </c>
      <c r="E254" s="446" t="s">
        <v>936</v>
      </c>
      <c r="F254" s="446" t="s">
        <v>50</v>
      </c>
      <c r="G254" s="453" t="s">
        <v>50</v>
      </c>
      <c r="H254" s="446" t="s">
        <v>50</v>
      </c>
      <c r="I254" s="453" t="s">
        <v>50</v>
      </c>
      <c r="J254" s="439"/>
      <c r="K254" s="684">
        <v>8</v>
      </c>
      <c r="L254" s="424">
        <f>K254*A252</f>
        <v>2</v>
      </c>
      <c r="M254" s="684">
        <f>K254-L254</f>
        <v>6</v>
      </c>
    </row>
    <row r="255" spans="1:13" x14ac:dyDescent="0.25">
      <c r="A255" s="684"/>
      <c r="B255" s="450"/>
      <c r="C255" s="449"/>
      <c r="D255" s="446">
        <v>22.25</v>
      </c>
      <c r="E255" s="446" t="s">
        <v>938</v>
      </c>
      <c r="F255" s="446" t="s">
        <v>50</v>
      </c>
      <c r="G255" s="453" t="s">
        <v>49</v>
      </c>
      <c r="H255" s="446" t="s">
        <v>50</v>
      </c>
      <c r="I255" s="453" t="s">
        <v>49</v>
      </c>
      <c r="J255" s="439"/>
      <c r="K255" s="684"/>
      <c r="L255" s="424">
        <f>COUNTIF(F254:I255,"Parent A")</f>
        <v>2</v>
      </c>
      <c r="M255" s="684">
        <f>COUNTIF(F254:I255,"Parent B")</f>
        <v>6</v>
      </c>
    </row>
    <row r="256" spans="1:13" x14ac:dyDescent="0.25">
      <c r="A256" s="684"/>
      <c r="B256" s="450"/>
      <c r="C256" s="449"/>
      <c r="D256" s="446"/>
      <c r="E256" s="446"/>
      <c r="F256" s="446"/>
      <c r="G256" s="450"/>
      <c r="H256" s="450"/>
      <c r="I256" s="450"/>
      <c r="J256" s="439"/>
      <c r="K256" s="684"/>
      <c r="L256" s="424"/>
      <c r="M256" s="684"/>
    </row>
    <row r="257" spans="1:13" x14ac:dyDescent="0.25">
      <c r="A257" s="684"/>
      <c r="B257" s="450"/>
      <c r="C257" s="449"/>
      <c r="D257" s="446">
        <v>31.25</v>
      </c>
      <c r="E257" s="446" t="s">
        <v>936</v>
      </c>
      <c r="F257" s="446" t="s">
        <v>50</v>
      </c>
      <c r="G257" s="450" t="s">
        <v>50</v>
      </c>
      <c r="H257" s="450" t="s">
        <v>50</v>
      </c>
      <c r="I257" s="450" t="s">
        <v>50</v>
      </c>
      <c r="J257" s="439"/>
      <c r="K257" s="684">
        <v>12</v>
      </c>
      <c r="L257" s="424">
        <f>K257*A252</f>
        <v>3</v>
      </c>
      <c r="M257" s="684">
        <f>K257-L257</f>
        <v>9</v>
      </c>
    </row>
    <row r="258" spans="1:13" x14ac:dyDescent="0.25">
      <c r="A258" s="684"/>
      <c r="B258" s="450"/>
      <c r="C258" s="449"/>
      <c r="D258" s="446">
        <v>32.25</v>
      </c>
      <c r="E258" s="446" t="s">
        <v>938</v>
      </c>
      <c r="F258" s="446" t="s">
        <v>50</v>
      </c>
      <c r="G258" s="450" t="s">
        <v>50</v>
      </c>
      <c r="H258" s="450" t="s">
        <v>50</v>
      </c>
      <c r="I258" s="450" t="s">
        <v>50</v>
      </c>
      <c r="J258" s="439"/>
      <c r="K258" s="684"/>
      <c r="L258" s="424">
        <f>COUNTIF(F257:I259,"Parent A")</f>
        <v>3</v>
      </c>
      <c r="M258" s="684">
        <f>COUNTIF(F257:I259,"Parent B")</f>
        <v>9</v>
      </c>
    </row>
    <row r="259" spans="1:13" x14ac:dyDescent="0.25">
      <c r="A259" s="684"/>
      <c r="B259" s="450"/>
      <c r="C259" s="449"/>
      <c r="D259" s="446">
        <v>33.25</v>
      </c>
      <c r="E259" s="446" t="s">
        <v>939</v>
      </c>
      <c r="F259" s="446" t="s">
        <v>49</v>
      </c>
      <c r="G259" s="446" t="s">
        <v>49</v>
      </c>
      <c r="H259" s="446" t="s">
        <v>49</v>
      </c>
      <c r="I259" s="446" t="s">
        <v>50</v>
      </c>
      <c r="J259" s="439"/>
      <c r="K259" s="684"/>
      <c r="L259" s="424"/>
      <c r="M259" s="684"/>
    </row>
    <row r="260" spans="1:13" x14ac:dyDescent="0.25">
      <c r="A260" s="684"/>
      <c r="B260" s="450"/>
      <c r="C260" s="449"/>
      <c r="D260" s="446"/>
      <c r="E260" s="446"/>
      <c r="F260" s="446"/>
      <c r="G260" s="450"/>
      <c r="H260" s="450"/>
      <c r="I260" s="450"/>
      <c r="J260" s="439"/>
      <c r="K260" s="684"/>
      <c r="L260" s="424"/>
      <c r="M260" s="684"/>
    </row>
    <row r="261" spans="1:13" x14ac:dyDescent="0.25">
      <c r="A261" s="684"/>
      <c r="B261" s="450"/>
      <c r="C261" s="449"/>
      <c r="D261" s="446">
        <v>41.25</v>
      </c>
      <c r="E261" s="446" t="s">
        <v>936</v>
      </c>
      <c r="F261" s="450" t="s">
        <v>50</v>
      </c>
      <c r="G261" s="450" t="s">
        <v>50</v>
      </c>
      <c r="H261" s="450" t="s">
        <v>50</v>
      </c>
      <c r="I261" s="450" t="s">
        <v>50</v>
      </c>
      <c r="J261" s="439"/>
      <c r="K261" s="684">
        <v>16</v>
      </c>
      <c r="L261" s="424">
        <f>K261*A252</f>
        <v>4</v>
      </c>
      <c r="M261" s="684">
        <f>K261-L261</f>
        <v>12</v>
      </c>
    </row>
    <row r="262" spans="1:13" x14ac:dyDescent="0.25">
      <c r="A262" s="684"/>
      <c r="B262" s="450"/>
      <c r="C262" s="449"/>
      <c r="D262" s="446">
        <v>42.25</v>
      </c>
      <c r="E262" s="446" t="s">
        <v>938</v>
      </c>
      <c r="F262" s="450" t="s">
        <v>50</v>
      </c>
      <c r="G262" s="450" t="s">
        <v>50</v>
      </c>
      <c r="H262" s="450" t="s">
        <v>50</v>
      </c>
      <c r="I262" s="450" t="s">
        <v>50</v>
      </c>
      <c r="J262" s="437"/>
      <c r="K262" s="684"/>
      <c r="L262" s="424">
        <f>COUNTIF(F261:I264,"Parent A")</f>
        <v>4</v>
      </c>
      <c r="M262" s="684">
        <f>COUNTIF(F261:I264,"Parent B")</f>
        <v>12</v>
      </c>
    </row>
    <row r="263" spans="1:13" x14ac:dyDescent="0.25">
      <c r="A263" s="684"/>
      <c r="B263" s="450"/>
      <c r="C263" s="449"/>
      <c r="D263" s="446">
        <v>43.25</v>
      </c>
      <c r="E263" s="446" t="s">
        <v>939</v>
      </c>
      <c r="F263" s="450" t="s">
        <v>50</v>
      </c>
      <c r="G263" s="450" t="s">
        <v>50</v>
      </c>
      <c r="H263" s="450" t="s">
        <v>50</v>
      </c>
      <c r="I263" s="450" t="s">
        <v>50</v>
      </c>
      <c r="J263" s="437"/>
      <c r="K263" s="684"/>
      <c r="L263" s="424"/>
      <c r="M263" s="684"/>
    </row>
    <row r="264" spans="1:13" x14ac:dyDescent="0.25">
      <c r="A264" s="684"/>
      <c r="B264" s="450"/>
      <c r="C264" s="449"/>
      <c r="D264" s="446">
        <v>44.25</v>
      </c>
      <c r="E264" s="446" t="s">
        <v>940</v>
      </c>
      <c r="F264" s="446" t="s">
        <v>49</v>
      </c>
      <c r="G264" s="446" t="s">
        <v>49</v>
      </c>
      <c r="H264" s="446" t="s">
        <v>49</v>
      </c>
      <c r="I264" s="446" t="s">
        <v>49</v>
      </c>
      <c r="J264" s="439"/>
      <c r="K264" s="684"/>
      <c r="L264" s="424"/>
      <c r="M264" s="684"/>
    </row>
    <row r="265" spans="1:13" x14ac:dyDescent="0.25">
      <c r="A265" s="684"/>
      <c r="B265" s="450"/>
      <c r="C265" s="449"/>
      <c r="D265" s="446"/>
      <c r="E265" s="446"/>
      <c r="F265" s="446"/>
      <c r="G265" s="450"/>
      <c r="H265" s="450"/>
      <c r="I265" s="450"/>
      <c r="J265" s="439"/>
      <c r="K265" s="684"/>
      <c r="L265" s="424"/>
      <c r="M265" s="684"/>
    </row>
    <row r="266" spans="1:13" x14ac:dyDescent="0.25">
      <c r="A266" s="684"/>
      <c r="B266" s="450"/>
      <c r="C266" s="449"/>
      <c r="D266" s="446">
        <v>51.25</v>
      </c>
      <c r="E266" s="446" t="s">
        <v>936</v>
      </c>
      <c r="F266" s="446" t="s">
        <v>50</v>
      </c>
      <c r="G266" s="446" t="s">
        <v>50</v>
      </c>
      <c r="H266" s="446" t="s">
        <v>50</v>
      </c>
      <c r="I266" s="446" t="s">
        <v>50</v>
      </c>
      <c r="J266" s="439"/>
      <c r="K266" s="684">
        <v>20</v>
      </c>
      <c r="L266" s="424">
        <f>K266*A252</f>
        <v>5</v>
      </c>
      <c r="M266" s="684">
        <f>K266-L266</f>
        <v>15</v>
      </c>
    </row>
    <row r="267" spans="1:13" x14ac:dyDescent="0.25">
      <c r="A267" s="684"/>
      <c r="B267" s="450"/>
      <c r="C267" s="449"/>
      <c r="D267" s="446">
        <v>52.25</v>
      </c>
      <c r="E267" s="446" t="s">
        <v>938</v>
      </c>
      <c r="F267" s="446" t="s">
        <v>50</v>
      </c>
      <c r="G267" s="446" t="s">
        <v>50</v>
      </c>
      <c r="H267" s="446" t="s">
        <v>50</v>
      </c>
      <c r="I267" s="453" t="s">
        <v>50</v>
      </c>
      <c r="J267" s="439"/>
      <c r="K267" s="684"/>
      <c r="L267" s="424">
        <f>COUNTIF(F266:I270,"Parent A")</f>
        <v>5</v>
      </c>
      <c r="M267" s="684">
        <f>COUNTIF(F266:I270,"Parent B")</f>
        <v>15</v>
      </c>
    </row>
    <row r="268" spans="1:13" x14ac:dyDescent="0.25">
      <c r="A268" s="684"/>
      <c r="B268" s="450"/>
      <c r="C268" s="449"/>
      <c r="D268" s="446">
        <v>53.25</v>
      </c>
      <c r="E268" s="446" t="s">
        <v>939</v>
      </c>
      <c r="F268" s="446" t="s">
        <v>50</v>
      </c>
      <c r="G268" s="446" t="s">
        <v>50</v>
      </c>
      <c r="H268" s="446" t="s">
        <v>50</v>
      </c>
      <c r="I268" s="446" t="s">
        <v>50</v>
      </c>
      <c r="J268" s="439"/>
      <c r="K268" s="684"/>
      <c r="L268" s="424"/>
      <c r="M268" s="684"/>
    </row>
    <row r="269" spans="1:13" x14ac:dyDescent="0.25">
      <c r="A269" s="684"/>
      <c r="B269" s="450"/>
      <c r="C269" s="449"/>
      <c r="D269" s="446">
        <v>54.25</v>
      </c>
      <c r="E269" s="446" t="s">
        <v>940</v>
      </c>
      <c r="F269" s="453" t="s">
        <v>49</v>
      </c>
      <c r="G269" s="446" t="s">
        <v>50</v>
      </c>
      <c r="H269" s="446" t="s">
        <v>50</v>
      </c>
      <c r="I269" s="453" t="s">
        <v>50</v>
      </c>
      <c r="J269" s="439"/>
      <c r="K269" s="684"/>
      <c r="L269" s="424"/>
      <c r="M269" s="684"/>
    </row>
    <row r="270" spans="1:13" x14ac:dyDescent="0.25">
      <c r="A270" s="684"/>
      <c r="B270" s="450"/>
      <c r="C270" s="449"/>
      <c r="D270" s="446">
        <v>55.25</v>
      </c>
      <c r="E270" s="446" t="s">
        <v>941</v>
      </c>
      <c r="F270" s="446" t="s">
        <v>49</v>
      </c>
      <c r="G270" s="446" t="s">
        <v>49</v>
      </c>
      <c r="H270" s="446" t="s">
        <v>49</v>
      </c>
      <c r="I270" s="446" t="s">
        <v>49</v>
      </c>
      <c r="J270" s="439"/>
      <c r="K270" s="684"/>
      <c r="L270" s="424"/>
      <c r="M270" s="684"/>
    </row>
    <row r="271" spans="1:13" x14ac:dyDescent="0.25">
      <c r="A271" s="684"/>
      <c r="B271" s="450"/>
      <c r="C271" s="449"/>
      <c r="D271" s="446"/>
      <c r="E271" s="446"/>
      <c r="F271" s="446"/>
      <c r="G271" s="450"/>
      <c r="H271" s="450"/>
      <c r="I271" s="450"/>
      <c r="J271" s="439"/>
      <c r="K271" s="684"/>
      <c r="L271" s="424"/>
      <c r="M271" s="684"/>
    </row>
    <row r="272" spans="1:13" x14ac:dyDescent="0.25">
      <c r="A272" s="684"/>
      <c r="B272" s="450"/>
      <c r="C272" s="449"/>
      <c r="D272" s="446">
        <v>61.25</v>
      </c>
      <c r="E272" s="446" t="s">
        <v>936</v>
      </c>
      <c r="F272" s="446" t="s">
        <v>50</v>
      </c>
      <c r="G272" s="446" t="s">
        <v>50</v>
      </c>
      <c r="H272" s="446" t="s">
        <v>50</v>
      </c>
      <c r="I272" s="446" t="s">
        <v>50</v>
      </c>
      <c r="J272" s="439"/>
      <c r="K272" s="684">
        <v>24</v>
      </c>
      <c r="L272" s="424">
        <f>K272*A252</f>
        <v>6</v>
      </c>
      <c r="M272" s="684">
        <f>K272-L272</f>
        <v>18</v>
      </c>
    </row>
    <row r="273" spans="1:13" x14ac:dyDescent="0.25">
      <c r="A273" s="684"/>
      <c r="B273" s="450"/>
      <c r="C273" s="449"/>
      <c r="D273" s="446">
        <v>62.25</v>
      </c>
      <c r="E273" s="446" t="s">
        <v>938</v>
      </c>
      <c r="F273" s="446" t="s">
        <v>50</v>
      </c>
      <c r="G273" s="446" t="s">
        <v>50</v>
      </c>
      <c r="H273" s="446" t="s">
        <v>50</v>
      </c>
      <c r="I273" s="446" t="s">
        <v>50</v>
      </c>
      <c r="J273" s="439"/>
      <c r="K273" s="684"/>
      <c r="L273" s="424">
        <f>COUNTIF(F272:I277,"Parent A")</f>
        <v>6</v>
      </c>
      <c r="M273" s="684">
        <f>COUNTIF(F272:I277,"Parent B")</f>
        <v>18</v>
      </c>
    </row>
    <row r="274" spans="1:13" x14ac:dyDescent="0.25">
      <c r="A274" s="684"/>
      <c r="B274" s="450"/>
      <c r="C274" s="449"/>
      <c r="D274" s="446">
        <v>63.25</v>
      </c>
      <c r="E274" s="446" t="s">
        <v>939</v>
      </c>
      <c r="F274" s="446" t="s">
        <v>50</v>
      </c>
      <c r="G274" s="446" t="s">
        <v>50</v>
      </c>
      <c r="H274" s="446" t="s">
        <v>50</v>
      </c>
      <c r="I274" s="446" t="s">
        <v>50</v>
      </c>
      <c r="J274" s="439"/>
      <c r="K274" s="684"/>
      <c r="L274" s="424"/>
      <c r="M274" s="684"/>
    </row>
    <row r="275" spans="1:13" x14ac:dyDescent="0.25">
      <c r="A275" s="684"/>
      <c r="B275" s="450"/>
      <c r="C275" s="449"/>
      <c r="D275" s="446">
        <v>64.25</v>
      </c>
      <c r="E275" s="446" t="s">
        <v>940</v>
      </c>
      <c r="F275" s="446" t="s">
        <v>50</v>
      </c>
      <c r="G275" s="446" t="s">
        <v>50</v>
      </c>
      <c r="H275" s="446" t="s">
        <v>50</v>
      </c>
      <c r="I275" s="446" t="s">
        <v>50</v>
      </c>
      <c r="J275" s="439"/>
      <c r="K275" s="684"/>
      <c r="L275" s="424"/>
      <c r="M275" s="684"/>
    </row>
    <row r="276" spans="1:13" x14ac:dyDescent="0.25">
      <c r="A276" s="684"/>
      <c r="B276" s="450"/>
      <c r="C276" s="449"/>
      <c r="D276" s="446">
        <v>65.25</v>
      </c>
      <c r="E276" s="446" t="s">
        <v>941</v>
      </c>
      <c r="F276" s="446" t="s">
        <v>49</v>
      </c>
      <c r="G276" s="446" t="s">
        <v>50</v>
      </c>
      <c r="H276" s="446" t="s">
        <v>49</v>
      </c>
      <c r="I276" s="446" t="s">
        <v>50</v>
      </c>
      <c r="J276" s="439"/>
      <c r="K276" s="684"/>
      <c r="L276" s="424"/>
      <c r="M276" s="684"/>
    </row>
    <row r="277" spans="1:13" x14ac:dyDescent="0.25">
      <c r="A277" s="632"/>
      <c r="B277" s="454"/>
      <c r="C277" s="442"/>
      <c r="D277" s="455">
        <v>66.25</v>
      </c>
      <c r="E277" s="455" t="s">
        <v>942</v>
      </c>
      <c r="F277" s="455" t="s">
        <v>49</v>
      </c>
      <c r="G277" s="455" t="s">
        <v>49</v>
      </c>
      <c r="H277" s="455" t="s">
        <v>49</v>
      </c>
      <c r="I277" s="455" t="s">
        <v>49</v>
      </c>
      <c r="J277" s="455"/>
      <c r="K277" s="632"/>
      <c r="L277" s="457"/>
      <c r="M277" s="632"/>
    </row>
    <row r="278" spans="1:13" x14ac:dyDescent="0.25">
      <c r="A278" s="684"/>
      <c r="B278" s="450"/>
      <c r="C278" s="449"/>
      <c r="D278" s="446"/>
      <c r="E278" s="446"/>
      <c r="F278" s="446"/>
      <c r="G278" s="450"/>
      <c r="H278" s="450"/>
      <c r="I278" s="450"/>
      <c r="J278" s="450"/>
      <c r="K278" s="684"/>
      <c r="L278" s="424"/>
      <c r="M278" s="684"/>
    </row>
    <row r="279" spans="1:13" x14ac:dyDescent="0.25">
      <c r="A279" s="458">
        <v>0.2</v>
      </c>
      <c r="B279" s="450">
        <v>0.2</v>
      </c>
      <c r="C279" s="716" t="s">
        <v>952</v>
      </c>
      <c r="D279" s="446">
        <v>11.2</v>
      </c>
      <c r="E279" s="446" t="s">
        <v>936</v>
      </c>
      <c r="F279" s="446" t="s">
        <v>50</v>
      </c>
      <c r="G279" s="450" t="s">
        <v>50</v>
      </c>
      <c r="H279" s="450" t="s">
        <v>50</v>
      </c>
      <c r="I279" s="450" t="s">
        <v>50</v>
      </c>
      <c r="J279" s="450" t="s">
        <v>49</v>
      </c>
      <c r="K279" s="684">
        <v>5</v>
      </c>
      <c r="L279" s="436">
        <f>K279*A279</f>
        <v>1</v>
      </c>
      <c r="M279" s="684">
        <f>K279-L279</f>
        <v>4</v>
      </c>
    </row>
    <row r="280" spans="1:13" x14ac:dyDescent="0.25">
      <c r="A280" s="684"/>
      <c r="B280" s="450"/>
      <c r="C280" s="449"/>
      <c r="D280" s="446"/>
      <c r="E280" s="446"/>
      <c r="F280" s="446"/>
      <c r="G280" s="450"/>
      <c r="H280" s="450"/>
      <c r="I280" s="450"/>
      <c r="J280" s="450"/>
      <c r="K280" s="684"/>
      <c r="L280" s="424"/>
      <c r="M280" s="684"/>
    </row>
    <row r="281" spans="1:13" x14ac:dyDescent="0.25">
      <c r="A281" s="684"/>
      <c r="B281" s="450"/>
      <c r="C281" s="449"/>
      <c r="D281" s="446">
        <v>21.2</v>
      </c>
      <c r="E281" s="446" t="s">
        <v>936</v>
      </c>
      <c r="F281" s="446" t="s">
        <v>50</v>
      </c>
      <c r="G281" s="452" t="s">
        <v>50</v>
      </c>
      <c r="H281" s="450" t="s">
        <v>50</v>
      </c>
      <c r="I281" s="452" t="s">
        <v>50</v>
      </c>
      <c r="J281" s="450" t="s">
        <v>50</v>
      </c>
      <c r="K281" s="684">
        <v>10</v>
      </c>
      <c r="L281" s="436">
        <f>K281*A279</f>
        <v>2</v>
      </c>
      <c r="M281" s="684">
        <f>K281-L281</f>
        <v>8</v>
      </c>
    </row>
    <row r="282" spans="1:13" x14ac:dyDescent="0.25">
      <c r="A282" s="684"/>
      <c r="B282" s="450"/>
      <c r="C282" s="449"/>
      <c r="D282" s="446">
        <v>22.2</v>
      </c>
      <c r="E282" s="446" t="s">
        <v>938</v>
      </c>
      <c r="F282" s="446" t="s">
        <v>50</v>
      </c>
      <c r="G282" s="452" t="s">
        <v>49</v>
      </c>
      <c r="H282" s="450" t="s">
        <v>50</v>
      </c>
      <c r="I282" s="452" t="s">
        <v>49</v>
      </c>
      <c r="J282" s="450" t="s">
        <v>50</v>
      </c>
      <c r="K282" s="684"/>
      <c r="L282" s="424">
        <f>COUNTIF(F281:J282,"Parent A")</f>
        <v>2</v>
      </c>
      <c r="M282" s="684">
        <f>COUNTIF(E281:J282,"Parent B")</f>
        <v>8</v>
      </c>
    </row>
    <row r="283" spans="1:13" x14ac:dyDescent="0.25">
      <c r="A283" s="684"/>
      <c r="B283" s="450"/>
      <c r="C283" s="449"/>
      <c r="D283" s="446"/>
      <c r="E283" s="446"/>
      <c r="F283" s="446"/>
      <c r="G283" s="450"/>
      <c r="H283" s="450"/>
      <c r="I283" s="450"/>
      <c r="J283" s="450"/>
      <c r="K283" s="684"/>
      <c r="L283" s="424"/>
      <c r="M283" s="684"/>
    </row>
    <row r="284" spans="1:13" x14ac:dyDescent="0.25">
      <c r="A284" s="684"/>
      <c r="B284" s="450"/>
      <c r="C284" s="449"/>
      <c r="D284" s="446">
        <v>31.2</v>
      </c>
      <c r="E284" s="446" t="s">
        <v>936</v>
      </c>
      <c r="F284" s="446" t="s">
        <v>50</v>
      </c>
      <c r="G284" s="450" t="s">
        <v>50</v>
      </c>
      <c r="H284" s="446" t="s">
        <v>50</v>
      </c>
      <c r="I284" s="450" t="s">
        <v>50</v>
      </c>
      <c r="J284" s="446" t="s">
        <v>50</v>
      </c>
      <c r="K284" s="684">
        <v>15</v>
      </c>
      <c r="L284" s="424">
        <f>K284*A279</f>
        <v>3</v>
      </c>
      <c r="M284" s="684">
        <f>K284-L284</f>
        <v>12</v>
      </c>
    </row>
    <row r="285" spans="1:13" x14ac:dyDescent="0.25">
      <c r="A285" s="684"/>
      <c r="B285" s="450"/>
      <c r="C285" s="449"/>
      <c r="D285" s="446">
        <v>32.200000000000003</v>
      </c>
      <c r="E285" s="446" t="s">
        <v>938</v>
      </c>
      <c r="F285" s="446" t="s">
        <v>50</v>
      </c>
      <c r="G285" s="450" t="s">
        <v>50</v>
      </c>
      <c r="H285" s="446" t="s">
        <v>50</v>
      </c>
      <c r="I285" s="450" t="s">
        <v>50</v>
      </c>
      <c r="J285" s="446" t="s">
        <v>50</v>
      </c>
      <c r="K285" s="684"/>
      <c r="L285" s="424">
        <f>COUNTIF(F284:J286,"Parent A")</f>
        <v>3</v>
      </c>
      <c r="M285" s="684">
        <f>COUNTIF(F284:J286,"Parent B")</f>
        <v>12</v>
      </c>
    </row>
    <row r="286" spans="1:13" x14ac:dyDescent="0.25">
      <c r="A286" s="684"/>
      <c r="B286" s="450"/>
      <c r="C286" s="449"/>
      <c r="D286" s="446">
        <v>33.200000000000003</v>
      </c>
      <c r="E286" s="446" t="s">
        <v>939</v>
      </c>
      <c r="F286" s="446" t="s">
        <v>49</v>
      </c>
      <c r="G286" s="450" t="s">
        <v>50</v>
      </c>
      <c r="H286" s="446" t="s">
        <v>49</v>
      </c>
      <c r="I286" s="450" t="s">
        <v>50</v>
      </c>
      <c r="J286" s="446" t="s">
        <v>49</v>
      </c>
      <c r="K286" s="684"/>
      <c r="L286" s="424"/>
      <c r="M286" s="684"/>
    </row>
    <row r="287" spans="1:13" x14ac:dyDescent="0.25">
      <c r="A287" s="684"/>
      <c r="B287" s="450"/>
      <c r="C287" s="449"/>
      <c r="D287" s="446"/>
      <c r="E287" s="446"/>
      <c r="F287" s="446"/>
      <c r="G287" s="450"/>
      <c r="H287" s="450"/>
      <c r="I287" s="450"/>
      <c r="J287" s="450"/>
      <c r="K287" s="684"/>
      <c r="L287" s="424"/>
      <c r="M287" s="684"/>
    </row>
    <row r="288" spans="1:13" x14ac:dyDescent="0.25">
      <c r="A288" s="684"/>
      <c r="B288" s="450"/>
      <c r="C288" s="449"/>
      <c r="D288" s="446">
        <v>41.2</v>
      </c>
      <c r="E288" s="446" t="s">
        <v>936</v>
      </c>
      <c r="F288" s="446" t="s">
        <v>50</v>
      </c>
      <c r="G288" s="450" t="s">
        <v>50</v>
      </c>
      <c r="H288" s="446" t="s">
        <v>50</v>
      </c>
      <c r="I288" s="446" t="s">
        <v>50</v>
      </c>
      <c r="J288" s="446" t="s">
        <v>50</v>
      </c>
      <c r="K288" s="684">
        <v>20</v>
      </c>
      <c r="L288" s="424">
        <f>K288*A279</f>
        <v>4</v>
      </c>
      <c r="M288" s="684">
        <f>K288-L288</f>
        <v>16</v>
      </c>
    </row>
    <row r="289" spans="1:13" x14ac:dyDescent="0.25">
      <c r="A289" s="684"/>
      <c r="B289" s="450"/>
      <c r="C289" s="449"/>
      <c r="D289" s="446">
        <v>42.2</v>
      </c>
      <c r="E289" s="446" t="s">
        <v>938</v>
      </c>
      <c r="F289" s="446" t="s">
        <v>50</v>
      </c>
      <c r="G289" s="450" t="s">
        <v>50</v>
      </c>
      <c r="H289" s="446" t="s">
        <v>50</v>
      </c>
      <c r="I289" s="446" t="s">
        <v>50</v>
      </c>
      <c r="J289" s="446" t="s">
        <v>50</v>
      </c>
      <c r="K289" s="684"/>
      <c r="L289" s="424">
        <f>COUNTIF(F288:J291,"Parent A")</f>
        <v>4</v>
      </c>
      <c r="M289" s="684">
        <f>COUNTIF(F288:J291,"Parent B")</f>
        <v>16</v>
      </c>
    </row>
    <row r="290" spans="1:13" x14ac:dyDescent="0.25">
      <c r="A290" s="684"/>
      <c r="B290" s="450"/>
      <c r="C290" s="449"/>
      <c r="D290" s="446">
        <v>43.2</v>
      </c>
      <c r="E290" s="446" t="s">
        <v>939</v>
      </c>
      <c r="F290" s="446" t="s">
        <v>50</v>
      </c>
      <c r="G290" s="450" t="s">
        <v>50</v>
      </c>
      <c r="H290" s="446" t="s">
        <v>50</v>
      </c>
      <c r="I290" s="446" t="s">
        <v>50</v>
      </c>
      <c r="J290" s="446" t="s">
        <v>50</v>
      </c>
      <c r="K290" s="684"/>
      <c r="L290" s="424"/>
      <c r="M290" s="684"/>
    </row>
    <row r="291" spans="1:13" x14ac:dyDescent="0.25">
      <c r="A291" s="684"/>
      <c r="B291" s="450"/>
      <c r="C291" s="449"/>
      <c r="D291" s="446">
        <v>44.2</v>
      </c>
      <c r="E291" s="446" t="s">
        <v>940</v>
      </c>
      <c r="F291" s="446" t="s">
        <v>49</v>
      </c>
      <c r="G291" s="446" t="s">
        <v>49</v>
      </c>
      <c r="H291" s="450" t="s">
        <v>49</v>
      </c>
      <c r="I291" s="446" t="s">
        <v>49</v>
      </c>
      <c r="J291" s="446" t="s">
        <v>50</v>
      </c>
      <c r="K291" s="684"/>
      <c r="L291" s="424"/>
      <c r="M291" s="684"/>
    </row>
    <row r="292" spans="1:13" x14ac:dyDescent="0.25">
      <c r="A292" s="684"/>
      <c r="B292" s="450"/>
      <c r="C292" s="449"/>
      <c r="D292" s="446"/>
      <c r="E292" s="446"/>
      <c r="F292" s="446"/>
      <c r="G292" s="450"/>
      <c r="H292" s="450"/>
      <c r="I292" s="450"/>
      <c r="J292" s="450"/>
      <c r="K292" s="684"/>
      <c r="L292" s="424"/>
      <c r="M292" s="684"/>
    </row>
    <row r="293" spans="1:13" x14ac:dyDescent="0.25">
      <c r="A293" s="684"/>
      <c r="B293" s="450"/>
      <c r="C293" s="449"/>
      <c r="D293" s="446">
        <v>51.2</v>
      </c>
      <c r="E293" s="446" t="s">
        <v>936</v>
      </c>
      <c r="F293" s="446" t="s">
        <v>50</v>
      </c>
      <c r="G293" s="446" t="s">
        <v>50</v>
      </c>
      <c r="H293" s="446" t="s">
        <v>50</v>
      </c>
      <c r="I293" s="446" t="s">
        <v>50</v>
      </c>
      <c r="J293" s="446" t="s">
        <v>50</v>
      </c>
      <c r="K293" s="684">
        <v>25</v>
      </c>
      <c r="L293" s="424">
        <f>K293*A279</f>
        <v>5</v>
      </c>
      <c r="M293" s="684">
        <f>K293-L293</f>
        <v>20</v>
      </c>
    </row>
    <row r="294" spans="1:13" x14ac:dyDescent="0.25">
      <c r="A294" s="684"/>
      <c r="B294" s="450"/>
      <c r="C294" s="449"/>
      <c r="D294" s="446">
        <v>52.2</v>
      </c>
      <c r="E294" s="446" t="s">
        <v>938</v>
      </c>
      <c r="F294" s="446" t="s">
        <v>50</v>
      </c>
      <c r="G294" s="446" t="s">
        <v>50</v>
      </c>
      <c r="H294" s="446" t="s">
        <v>50</v>
      </c>
      <c r="I294" s="446" t="s">
        <v>50</v>
      </c>
      <c r="J294" s="446" t="s">
        <v>50</v>
      </c>
      <c r="K294" s="684"/>
      <c r="L294" s="424">
        <f>COUNTIF(F293:J297,"Parent A")</f>
        <v>5</v>
      </c>
      <c r="M294" s="684">
        <f>COUNTIF(F293:J297,"Parent B")</f>
        <v>20</v>
      </c>
    </row>
    <row r="295" spans="1:13" x14ac:dyDescent="0.25">
      <c r="A295" s="684"/>
      <c r="B295" s="450"/>
      <c r="C295" s="449"/>
      <c r="D295" s="446">
        <v>53.2</v>
      </c>
      <c r="E295" s="446" t="s">
        <v>939</v>
      </c>
      <c r="F295" s="446" t="s">
        <v>49</v>
      </c>
      <c r="G295" s="446" t="s">
        <v>49</v>
      </c>
      <c r="H295" s="446" t="s">
        <v>49</v>
      </c>
      <c r="I295" s="446" t="s">
        <v>49</v>
      </c>
      <c r="J295" s="446" t="s">
        <v>49</v>
      </c>
      <c r="K295" s="684"/>
      <c r="L295" s="424"/>
      <c r="M295" s="684"/>
    </row>
    <row r="296" spans="1:13" x14ac:dyDescent="0.25">
      <c r="A296" s="684"/>
      <c r="B296" s="450"/>
      <c r="C296" s="449"/>
      <c r="D296" s="446">
        <v>54.2</v>
      </c>
      <c r="E296" s="446" t="s">
        <v>940</v>
      </c>
      <c r="F296" s="446" t="s">
        <v>50</v>
      </c>
      <c r="G296" s="446" t="s">
        <v>50</v>
      </c>
      <c r="H296" s="446" t="s">
        <v>50</v>
      </c>
      <c r="I296" s="446" t="s">
        <v>50</v>
      </c>
      <c r="J296" s="446" t="s">
        <v>50</v>
      </c>
      <c r="K296" s="684"/>
      <c r="L296" s="424"/>
      <c r="M296" s="684"/>
    </row>
    <row r="297" spans="1:13" x14ac:dyDescent="0.25">
      <c r="A297" s="684"/>
      <c r="B297" s="450"/>
      <c r="C297" s="449"/>
      <c r="D297" s="446">
        <v>55.2</v>
      </c>
      <c r="E297" s="446" t="s">
        <v>941</v>
      </c>
      <c r="F297" s="446" t="s">
        <v>50</v>
      </c>
      <c r="G297" s="446" t="s">
        <v>50</v>
      </c>
      <c r="H297" s="446" t="s">
        <v>50</v>
      </c>
      <c r="I297" s="446" t="s">
        <v>50</v>
      </c>
      <c r="J297" s="446" t="s">
        <v>50</v>
      </c>
      <c r="K297" s="684"/>
      <c r="L297" s="424"/>
      <c r="M297" s="684"/>
    </row>
    <row r="298" spans="1:13" x14ac:dyDescent="0.25">
      <c r="A298" s="684"/>
      <c r="B298" s="450"/>
      <c r="C298" s="449"/>
      <c r="D298" s="446"/>
      <c r="E298" s="446"/>
      <c r="F298" s="446"/>
      <c r="G298" s="450"/>
      <c r="H298" s="450"/>
      <c r="I298" s="450"/>
      <c r="J298" s="450"/>
      <c r="K298" s="684"/>
      <c r="L298" s="424"/>
      <c r="M298" s="684"/>
    </row>
    <row r="299" spans="1:13" x14ac:dyDescent="0.25">
      <c r="A299" s="684"/>
      <c r="B299" s="450"/>
      <c r="C299" s="449"/>
      <c r="D299" s="446">
        <v>61.2</v>
      </c>
      <c r="E299" s="446" t="s">
        <v>936</v>
      </c>
      <c r="F299" s="446" t="s">
        <v>50</v>
      </c>
      <c r="G299" s="446" t="s">
        <v>50</v>
      </c>
      <c r="H299" s="446" t="s">
        <v>50</v>
      </c>
      <c r="I299" s="446" t="s">
        <v>50</v>
      </c>
      <c r="J299" s="446" t="s">
        <v>50</v>
      </c>
      <c r="K299" s="684">
        <v>30</v>
      </c>
      <c r="L299" s="424">
        <f>K299*A279</f>
        <v>6</v>
      </c>
      <c r="M299" s="684">
        <f>K299-L299</f>
        <v>24</v>
      </c>
    </row>
    <row r="300" spans="1:13" x14ac:dyDescent="0.25">
      <c r="A300" s="684"/>
      <c r="B300" s="450"/>
      <c r="C300" s="449"/>
      <c r="D300" s="446">
        <v>62.2</v>
      </c>
      <c r="E300" s="446" t="s">
        <v>938</v>
      </c>
      <c r="F300" s="446" t="s">
        <v>50</v>
      </c>
      <c r="G300" s="446" t="s">
        <v>50</v>
      </c>
      <c r="H300" s="453" t="s">
        <v>50</v>
      </c>
      <c r="I300" s="446" t="s">
        <v>50</v>
      </c>
      <c r="J300" s="446" t="s">
        <v>50</v>
      </c>
      <c r="K300" s="684"/>
      <c r="L300" s="424">
        <f>COUNTIF(F299:J304,"Parent A")</f>
        <v>6</v>
      </c>
      <c r="M300" s="684">
        <f>COUNTIF(F299:J304,"Parent B")</f>
        <v>24</v>
      </c>
    </row>
    <row r="301" spans="1:13" x14ac:dyDescent="0.25">
      <c r="A301" s="684"/>
      <c r="B301" s="450"/>
      <c r="C301" s="449"/>
      <c r="D301" s="446">
        <v>63.2</v>
      </c>
      <c r="E301" s="446" t="s">
        <v>939</v>
      </c>
      <c r="F301" s="446" t="s">
        <v>49</v>
      </c>
      <c r="G301" s="446" t="s">
        <v>49</v>
      </c>
      <c r="H301" s="446" t="s">
        <v>49</v>
      </c>
      <c r="I301" s="446" t="s">
        <v>49</v>
      </c>
      <c r="J301" s="446" t="s">
        <v>49</v>
      </c>
      <c r="K301" s="684"/>
      <c r="L301" s="424"/>
      <c r="M301" s="684"/>
    </row>
    <row r="302" spans="1:13" x14ac:dyDescent="0.25">
      <c r="A302" s="684"/>
      <c r="B302" s="450"/>
      <c r="C302" s="449"/>
      <c r="D302" s="446">
        <v>64.2</v>
      </c>
      <c r="E302" s="446" t="s">
        <v>940</v>
      </c>
      <c r="F302" s="446" t="s">
        <v>50</v>
      </c>
      <c r="G302" s="446" t="s">
        <v>50</v>
      </c>
      <c r="H302" s="446" t="s">
        <v>50</v>
      </c>
      <c r="I302" s="446" t="s">
        <v>50</v>
      </c>
      <c r="J302" s="446" t="s">
        <v>50</v>
      </c>
      <c r="K302" s="684"/>
      <c r="L302" s="424"/>
      <c r="M302" s="684"/>
    </row>
    <row r="303" spans="1:13" x14ac:dyDescent="0.25">
      <c r="A303" s="684"/>
      <c r="B303" s="450"/>
      <c r="C303" s="449"/>
      <c r="D303" s="446">
        <v>65.2</v>
      </c>
      <c r="E303" s="446" t="s">
        <v>941</v>
      </c>
      <c r="F303" s="446" t="s">
        <v>50</v>
      </c>
      <c r="G303" s="446" t="s">
        <v>50</v>
      </c>
      <c r="H303" s="453" t="s">
        <v>50</v>
      </c>
      <c r="I303" s="446" t="s">
        <v>50</v>
      </c>
      <c r="J303" s="446" t="s">
        <v>50</v>
      </c>
      <c r="K303" s="684"/>
      <c r="L303" s="424"/>
      <c r="M303" s="684"/>
    </row>
    <row r="304" spans="1:13" x14ac:dyDescent="0.25">
      <c r="A304" s="632"/>
      <c r="B304" s="454"/>
      <c r="C304" s="442"/>
      <c r="D304" s="455">
        <v>66.2</v>
      </c>
      <c r="E304" s="455" t="s">
        <v>942</v>
      </c>
      <c r="F304" s="453" t="s">
        <v>50</v>
      </c>
      <c r="G304" s="453" t="s">
        <v>50</v>
      </c>
      <c r="H304" s="453" t="s">
        <v>50</v>
      </c>
      <c r="I304" s="453" t="s">
        <v>50</v>
      </c>
      <c r="J304" s="446" t="s">
        <v>49</v>
      </c>
      <c r="K304" s="632"/>
      <c r="L304" s="457"/>
      <c r="M304" s="632"/>
    </row>
    <row r="305" spans="1:13" x14ac:dyDescent="0.25">
      <c r="A305" s="684"/>
      <c r="B305" s="450"/>
      <c r="C305" s="449"/>
      <c r="D305" s="446"/>
      <c r="E305" s="446"/>
      <c r="F305" s="854"/>
      <c r="G305" s="849"/>
      <c r="H305" s="849"/>
      <c r="I305" s="849"/>
      <c r="J305" s="849"/>
      <c r="K305" s="684"/>
      <c r="L305" s="424"/>
      <c r="M305" s="684"/>
    </row>
    <row r="306" spans="1:13" x14ac:dyDescent="0.25">
      <c r="A306" s="458">
        <v>0</v>
      </c>
      <c r="B306" s="450" t="s">
        <v>953</v>
      </c>
      <c r="C306" s="716" t="s">
        <v>954</v>
      </c>
      <c r="D306" s="446">
        <v>11</v>
      </c>
      <c r="E306" s="446" t="s">
        <v>936</v>
      </c>
      <c r="F306" s="446" t="s">
        <v>50</v>
      </c>
      <c r="G306" s="446" t="s">
        <v>50</v>
      </c>
      <c r="H306" s="446" t="s">
        <v>50</v>
      </c>
      <c r="I306" s="446" t="s">
        <v>50</v>
      </c>
      <c r="J306" s="446" t="s">
        <v>50</v>
      </c>
      <c r="K306" s="435">
        <v>5</v>
      </c>
      <c r="L306" s="436">
        <f>K306*A306</f>
        <v>0</v>
      </c>
      <c r="M306" s="684">
        <f>K306-L306</f>
        <v>5</v>
      </c>
    </row>
    <row r="307" spans="1:13" x14ac:dyDescent="0.25">
      <c r="A307" s="684"/>
      <c r="B307" s="450"/>
      <c r="C307" s="449"/>
      <c r="D307" s="446"/>
      <c r="E307" s="446"/>
      <c r="F307" s="440"/>
      <c r="G307" s="440"/>
      <c r="H307" s="440"/>
      <c r="I307" s="440"/>
      <c r="J307" s="440"/>
      <c r="K307" s="435"/>
      <c r="L307" s="436"/>
      <c r="M307" s="684"/>
    </row>
    <row r="308" spans="1:13" x14ac:dyDescent="0.25">
      <c r="A308" s="684"/>
      <c r="B308" s="450"/>
      <c r="C308" s="449"/>
      <c r="D308" s="446">
        <v>21</v>
      </c>
      <c r="E308" s="446" t="s">
        <v>936</v>
      </c>
      <c r="F308" s="446" t="s">
        <v>50</v>
      </c>
      <c r="G308" s="446" t="s">
        <v>50</v>
      </c>
      <c r="H308" s="446" t="s">
        <v>50</v>
      </c>
      <c r="I308" s="446" t="s">
        <v>50</v>
      </c>
      <c r="J308" s="446" t="s">
        <v>50</v>
      </c>
      <c r="K308" s="435">
        <v>10</v>
      </c>
      <c r="L308" s="436">
        <f>K308*A306</f>
        <v>0</v>
      </c>
      <c r="M308" s="684">
        <f>K308-L308</f>
        <v>10</v>
      </c>
    </row>
    <row r="309" spans="1:13" x14ac:dyDescent="0.25">
      <c r="A309" s="684"/>
      <c r="B309" s="450"/>
      <c r="C309" s="449"/>
      <c r="D309" s="446">
        <v>22</v>
      </c>
      <c r="E309" s="446" t="s">
        <v>938</v>
      </c>
      <c r="F309" s="446" t="s">
        <v>50</v>
      </c>
      <c r="G309" s="446" t="s">
        <v>50</v>
      </c>
      <c r="H309" s="446" t="s">
        <v>50</v>
      </c>
      <c r="I309" s="446" t="s">
        <v>50</v>
      </c>
      <c r="J309" s="446" t="s">
        <v>50</v>
      </c>
      <c r="K309" s="435"/>
      <c r="L309" s="436">
        <f>COUNTIF(F308:J309,"Parent A")</f>
        <v>0</v>
      </c>
      <c r="M309" s="684">
        <f>COUNTIF(F308:J309,"Parent B")</f>
        <v>10</v>
      </c>
    </row>
    <row r="310" spans="1:13" x14ac:dyDescent="0.25">
      <c r="A310" s="684"/>
      <c r="B310" s="450"/>
      <c r="C310" s="449"/>
      <c r="D310" s="446"/>
      <c r="E310" s="446"/>
      <c r="F310" s="440"/>
      <c r="G310" s="440"/>
      <c r="H310" s="440"/>
      <c r="I310" s="440"/>
      <c r="J310" s="440"/>
      <c r="K310" s="435"/>
      <c r="L310" s="436"/>
      <c r="M310" s="684"/>
    </row>
    <row r="311" spans="1:13" x14ac:dyDescent="0.25">
      <c r="A311" s="684"/>
      <c r="B311" s="450"/>
      <c r="C311" s="449"/>
      <c r="D311" s="446">
        <v>31</v>
      </c>
      <c r="E311" s="446" t="s">
        <v>936</v>
      </c>
      <c r="F311" s="446" t="s">
        <v>50</v>
      </c>
      <c r="G311" s="446" t="s">
        <v>50</v>
      </c>
      <c r="H311" s="446" t="s">
        <v>50</v>
      </c>
      <c r="I311" s="446" t="s">
        <v>50</v>
      </c>
      <c r="J311" s="446" t="s">
        <v>50</v>
      </c>
      <c r="K311" s="435">
        <v>15</v>
      </c>
      <c r="L311" s="436">
        <f>K311*A306</f>
        <v>0</v>
      </c>
      <c r="M311" s="684">
        <f>K311-L311</f>
        <v>15</v>
      </c>
    </row>
    <row r="312" spans="1:13" x14ac:dyDescent="0.25">
      <c r="A312" s="684"/>
      <c r="B312" s="450"/>
      <c r="C312" s="449"/>
      <c r="D312" s="446">
        <v>32</v>
      </c>
      <c r="E312" s="446" t="s">
        <v>938</v>
      </c>
      <c r="F312" s="446" t="s">
        <v>50</v>
      </c>
      <c r="G312" s="446" t="s">
        <v>50</v>
      </c>
      <c r="H312" s="446" t="s">
        <v>50</v>
      </c>
      <c r="I312" s="446" t="s">
        <v>50</v>
      </c>
      <c r="J312" s="446" t="s">
        <v>50</v>
      </c>
      <c r="K312" s="435"/>
      <c r="L312" s="436">
        <f>COUNTIF(F311:J313,"Parent A")</f>
        <v>0</v>
      </c>
      <c r="M312" s="684">
        <f>COUNTIF(F311:J313,"Parent B")</f>
        <v>15</v>
      </c>
    </row>
    <row r="313" spans="1:13" x14ac:dyDescent="0.25">
      <c r="A313" s="684"/>
      <c r="B313" s="450"/>
      <c r="C313" s="449"/>
      <c r="D313" s="446">
        <v>33</v>
      </c>
      <c r="E313" s="446" t="s">
        <v>939</v>
      </c>
      <c r="F313" s="446" t="s">
        <v>50</v>
      </c>
      <c r="G313" s="446" t="s">
        <v>50</v>
      </c>
      <c r="H313" s="446" t="s">
        <v>50</v>
      </c>
      <c r="I313" s="446" t="s">
        <v>50</v>
      </c>
      <c r="J313" s="446" t="s">
        <v>50</v>
      </c>
      <c r="K313" s="435"/>
      <c r="L313" s="436"/>
      <c r="M313" s="684"/>
    </row>
    <row r="314" spans="1:13" x14ac:dyDescent="0.25">
      <c r="A314" s="684"/>
      <c r="B314" s="450"/>
      <c r="C314" s="449"/>
      <c r="D314" s="446"/>
      <c r="E314" s="446"/>
      <c r="F314" s="440"/>
      <c r="G314" s="440"/>
      <c r="H314" s="440"/>
      <c r="I314" s="440"/>
      <c r="J314" s="440"/>
      <c r="K314" s="435"/>
      <c r="L314" s="436"/>
      <c r="M314" s="684"/>
    </row>
    <row r="315" spans="1:13" x14ac:dyDescent="0.25">
      <c r="A315" s="684"/>
      <c r="B315" s="450"/>
      <c r="C315" s="449"/>
      <c r="D315" s="446">
        <v>41</v>
      </c>
      <c r="E315" s="446" t="s">
        <v>936</v>
      </c>
      <c r="F315" s="446" t="s">
        <v>50</v>
      </c>
      <c r="G315" s="446" t="s">
        <v>50</v>
      </c>
      <c r="H315" s="446" t="s">
        <v>50</v>
      </c>
      <c r="I315" s="446" t="s">
        <v>50</v>
      </c>
      <c r="J315" s="446" t="s">
        <v>50</v>
      </c>
      <c r="K315" s="435">
        <v>20</v>
      </c>
      <c r="L315" s="436">
        <f>K315*A306</f>
        <v>0</v>
      </c>
      <c r="M315" s="684">
        <f>K315-L315</f>
        <v>20</v>
      </c>
    </row>
    <row r="316" spans="1:13" x14ac:dyDescent="0.25">
      <c r="A316" s="684"/>
      <c r="B316" s="450"/>
      <c r="C316" s="449"/>
      <c r="D316" s="446">
        <v>42</v>
      </c>
      <c r="E316" s="446" t="s">
        <v>938</v>
      </c>
      <c r="F316" s="446" t="s">
        <v>50</v>
      </c>
      <c r="G316" s="446" t="s">
        <v>50</v>
      </c>
      <c r="H316" s="446" t="s">
        <v>50</v>
      </c>
      <c r="I316" s="446" t="s">
        <v>50</v>
      </c>
      <c r="J316" s="446" t="s">
        <v>50</v>
      </c>
      <c r="K316" s="435"/>
      <c r="L316" s="436">
        <f>COUNTIF(F315:J318,"Parent A")</f>
        <v>0</v>
      </c>
      <c r="M316" s="684">
        <f>COUNTIF(F315:J318,"Parent B")</f>
        <v>20</v>
      </c>
    </row>
    <row r="317" spans="1:13" x14ac:dyDescent="0.25">
      <c r="A317" s="684"/>
      <c r="B317" s="450"/>
      <c r="C317" s="449"/>
      <c r="D317" s="446">
        <v>43</v>
      </c>
      <c r="E317" s="446" t="s">
        <v>939</v>
      </c>
      <c r="F317" s="446" t="s">
        <v>50</v>
      </c>
      <c r="G317" s="446" t="s">
        <v>50</v>
      </c>
      <c r="H317" s="446" t="s">
        <v>50</v>
      </c>
      <c r="I317" s="446" t="s">
        <v>50</v>
      </c>
      <c r="J317" s="446" t="s">
        <v>50</v>
      </c>
      <c r="K317" s="435"/>
      <c r="L317" s="436"/>
      <c r="M317" s="684"/>
    </row>
    <row r="318" spans="1:13" x14ac:dyDescent="0.25">
      <c r="A318" s="684"/>
      <c r="B318" s="450"/>
      <c r="C318" s="449"/>
      <c r="D318" s="446">
        <v>44</v>
      </c>
      <c r="E318" s="446" t="s">
        <v>940</v>
      </c>
      <c r="F318" s="446" t="s">
        <v>50</v>
      </c>
      <c r="G318" s="446" t="s">
        <v>50</v>
      </c>
      <c r="H318" s="446" t="s">
        <v>50</v>
      </c>
      <c r="I318" s="446" t="s">
        <v>50</v>
      </c>
      <c r="J318" s="446" t="s">
        <v>50</v>
      </c>
      <c r="K318" s="435"/>
      <c r="L318" s="436"/>
      <c r="M318" s="684"/>
    </row>
    <row r="319" spans="1:13" x14ac:dyDescent="0.25">
      <c r="A319" s="684"/>
      <c r="B319" s="450"/>
      <c r="C319" s="449"/>
      <c r="D319" s="446"/>
      <c r="E319" s="446"/>
      <c r="F319" s="440"/>
      <c r="G319" s="440"/>
      <c r="H319" s="440"/>
      <c r="I319" s="440"/>
      <c r="J319" s="440"/>
      <c r="K319" s="435"/>
      <c r="L319" s="436"/>
      <c r="M319" s="684"/>
    </row>
    <row r="320" spans="1:13" x14ac:dyDescent="0.25">
      <c r="A320" s="684"/>
      <c r="B320" s="450"/>
      <c r="C320" s="449"/>
      <c r="D320" s="446">
        <v>51</v>
      </c>
      <c r="E320" s="446" t="s">
        <v>936</v>
      </c>
      <c r="F320" s="446" t="s">
        <v>50</v>
      </c>
      <c r="G320" s="446" t="s">
        <v>50</v>
      </c>
      <c r="H320" s="446" t="s">
        <v>50</v>
      </c>
      <c r="I320" s="446" t="s">
        <v>50</v>
      </c>
      <c r="J320" s="446" t="s">
        <v>50</v>
      </c>
      <c r="K320" s="435">
        <v>25</v>
      </c>
      <c r="L320" s="436">
        <f>K320*A306</f>
        <v>0</v>
      </c>
      <c r="M320" s="684">
        <f>K320-L320</f>
        <v>25</v>
      </c>
    </row>
    <row r="321" spans="1:13" x14ac:dyDescent="0.25">
      <c r="A321" s="684"/>
      <c r="B321" s="450"/>
      <c r="C321" s="449"/>
      <c r="D321" s="446">
        <v>52</v>
      </c>
      <c r="E321" s="446" t="s">
        <v>938</v>
      </c>
      <c r="F321" s="446" t="s">
        <v>50</v>
      </c>
      <c r="G321" s="446" t="s">
        <v>50</v>
      </c>
      <c r="H321" s="446" t="s">
        <v>50</v>
      </c>
      <c r="I321" s="446" t="s">
        <v>50</v>
      </c>
      <c r="J321" s="446" t="s">
        <v>50</v>
      </c>
      <c r="K321" s="435"/>
      <c r="L321" s="436">
        <f>COUNTIF(F320:J324,"Parent A")</f>
        <v>0</v>
      </c>
      <c r="M321" s="684">
        <f>COUNTIF(F320:J324,"Parent B")</f>
        <v>25</v>
      </c>
    </row>
    <row r="322" spans="1:13" x14ac:dyDescent="0.25">
      <c r="A322" s="684"/>
      <c r="B322" s="450"/>
      <c r="C322" s="449"/>
      <c r="D322" s="446">
        <v>53</v>
      </c>
      <c r="E322" s="446" t="s">
        <v>939</v>
      </c>
      <c r="F322" s="446" t="s">
        <v>50</v>
      </c>
      <c r="G322" s="446" t="s">
        <v>50</v>
      </c>
      <c r="H322" s="446" t="s">
        <v>50</v>
      </c>
      <c r="I322" s="446" t="s">
        <v>50</v>
      </c>
      <c r="J322" s="446" t="s">
        <v>50</v>
      </c>
      <c r="K322" s="435"/>
      <c r="L322" s="436"/>
      <c r="M322" s="684"/>
    </row>
    <row r="323" spans="1:13" x14ac:dyDescent="0.25">
      <c r="A323" s="684"/>
      <c r="B323" s="450"/>
      <c r="C323" s="449"/>
      <c r="D323" s="446">
        <v>54</v>
      </c>
      <c r="E323" s="446" t="s">
        <v>940</v>
      </c>
      <c r="F323" s="446" t="s">
        <v>50</v>
      </c>
      <c r="G323" s="446" t="s">
        <v>50</v>
      </c>
      <c r="H323" s="446" t="s">
        <v>50</v>
      </c>
      <c r="I323" s="446" t="s">
        <v>50</v>
      </c>
      <c r="J323" s="446" t="s">
        <v>50</v>
      </c>
      <c r="K323" s="435"/>
      <c r="L323" s="436"/>
      <c r="M323" s="684"/>
    </row>
    <row r="324" spans="1:13" x14ac:dyDescent="0.25">
      <c r="A324" s="684"/>
      <c r="B324" s="450"/>
      <c r="C324" s="449"/>
      <c r="D324" s="446">
        <v>55</v>
      </c>
      <c r="E324" s="446" t="s">
        <v>941</v>
      </c>
      <c r="F324" s="446" t="s">
        <v>50</v>
      </c>
      <c r="G324" s="446" t="s">
        <v>50</v>
      </c>
      <c r="H324" s="446" t="s">
        <v>50</v>
      </c>
      <c r="I324" s="446" t="s">
        <v>50</v>
      </c>
      <c r="J324" s="446" t="s">
        <v>50</v>
      </c>
      <c r="K324" s="435"/>
      <c r="L324" s="436"/>
      <c r="M324" s="684"/>
    </row>
    <row r="325" spans="1:13" x14ac:dyDescent="0.25">
      <c r="A325" s="684"/>
      <c r="B325" s="450"/>
      <c r="C325" s="449"/>
      <c r="D325" s="446"/>
      <c r="E325" s="446"/>
      <c r="F325" s="440"/>
      <c r="G325" s="440"/>
      <c r="H325" s="440"/>
      <c r="I325" s="440"/>
      <c r="J325" s="440"/>
      <c r="K325" s="435"/>
      <c r="L325" s="436"/>
      <c r="M325" s="684"/>
    </row>
    <row r="326" spans="1:13" x14ac:dyDescent="0.25">
      <c r="A326" s="684"/>
      <c r="B326" s="450"/>
      <c r="C326" s="449"/>
      <c r="D326" s="446">
        <v>61</v>
      </c>
      <c r="E326" s="446" t="s">
        <v>936</v>
      </c>
      <c r="F326" s="446" t="s">
        <v>50</v>
      </c>
      <c r="G326" s="446" t="s">
        <v>50</v>
      </c>
      <c r="H326" s="446" t="s">
        <v>50</v>
      </c>
      <c r="I326" s="446" t="s">
        <v>50</v>
      </c>
      <c r="J326" s="446" t="s">
        <v>50</v>
      </c>
      <c r="K326" s="435">
        <v>30</v>
      </c>
      <c r="L326" s="436">
        <f>K326*A306</f>
        <v>0</v>
      </c>
      <c r="M326" s="684">
        <f>K326-L326</f>
        <v>30</v>
      </c>
    </row>
    <row r="327" spans="1:13" x14ac:dyDescent="0.25">
      <c r="A327" s="684"/>
      <c r="B327" s="450"/>
      <c r="C327" s="449"/>
      <c r="D327" s="446">
        <v>62</v>
      </c>
      <c r="E327" s="446" t="s">
        <v>938</v>
      </c>
      <c r="F327" s="446" t="s">
        <v>50</v>
      </c>
      <c r="G327" s="446" t="s">
        <v>50</v>
      </c>
      <c r="H327" s="446" t="s">
        <v>50</v>
      </c>
      <c r="I327" s="446" t="s">
        <v>50</v>
      </c>
      <c r="J327" s="446" t="s">
        <v>50</v>
      </c>
      <c r="K327" s="435"/>
      <c r="L327" s="436">
        <f>COUNTIF(F326:J331,"Parent A")</f>
        <v>0</v>
      </c>
      <c r="M327" s="684">
        <f>COUNTIF(F326:J331,"Parent B")</f>
        <v>30</v>
      </c>
    </row>
    <row r="328" spans="1:13" x14ac:dyDescent="0.25">
      <c r="A328" s="684"/>
      <c r="B328" s="450"/>
      <c r="C328" s="449"/>
      <c r="D328" s="446">
        <v>63</v>
      </c>
      <c r="E328" s="446" t="s">
        <v>939</v>
      </c>
      <c r="F328" s="446" t="s">
        <v>50</v>
      </c>
      <c r="G328" s="446" t="s">
        <v>50</v>
      </c>
      <c r="H328" s="446" t="s">
        <v>50</v>
      </c>
      <c r="I328" s="446" t="s">
        <v>50</v>
      </c>
      <c r="J328" s="446" t="s">
        <v>50</v>
      </c>
      <c r="K328" s="435"/>
      <c r="L328" s="436"/>
      <c r="M328" s="684"/>
    </row>
    <row r="329" spans="1:13" x14ac:dyDescent="0.25">
      <c r="A329" s="684"/>
      <c r="B329" s="450"/>
      <c r="C329" s="449"/>
      <c r="D329" s="446">
        <v>64</v>
      </c>
      <c r="E329" s="446" t="s">
        <v>940</v>
      </c>
      <c r="F329" s="446" t="s">
        <v>50</v>
      </c>
      <c r="G329" s="446" t="s">
        <v>50</v>
      </c>
      <c r="H329" s="446" t="s">
        <v>50</v>
      </c>
      <c r="I329" s="446" t="s">
        <v>50</v>
      </c>
      <c r="J329" s="446" t="s">
        <v>50</v>
      </c>
      <c r="K329" s="435"/>
      <c r="L329" s="436"/>
      <c r="M329" s="684"/>
    </row>
    <row r="330" spans="1:13" x14ac:dyDescent="0.25">
      <c r="A330" s="684"/>
      <c r="B330" s="450"/>
      <c r="C330" s="449"/>
      <c r="D330" s="446">
        <v>65</v>
      </c>
      <c r="E330" s="446" t="s">
        <v>941</v>
      </c>
      <c r="F330" s="446" t="s">
        <v>50</v>
      </c>
      <c r="G330" s="446" t="s">
        <v>50</v>
      </c>
      <c r="H330" s="446" t="s">
        <v>50</v>
      </c>
      <c r="I330" s="446" t="s">
        <v>50</v>
      </c>
      <c r="J330" s="446" t="s">
        <v>50</v>
      </c>
      <c r="K330" s="435"/>
      <c r="L330" s="436"/>
      <c r="M330" s="684"/>
    </row>
    <row r="331" spans="1:13" x14ac:dyDescent="0.25">
      <c r="A331" s="632"/>
      <c r="B331" s="454"/>
      <c r="C331" s="442"/>
      <c r="D331" s="455">
        <v>66</v>
      </c>
      <c r="E331" s="455" t="s">
        <v>942</v>
      </c>
      <c r="F331" s="455" t="s">
        <v>50</v>
      </c>
      <c r="G331" s="455" t="s">
        <v>50</v>
      </c>
      <c r="H331" s="455" t="s">
        <v>50</v>
      </c>
      <c r="I331" s="455" t="s">
        <v>50</v>
      </c>
      <c r="J331" s="455" t="s">
        <v>50</v>
      </c>
      <c r="K331" s="733"/>
      <c r="L331" s="445"/>
      <c r="M331" s="632"/>
    </row>
    <row r="332" spans="1:13" x14ac:dyDescent="0.25">
      <c r="A332" s="62"/>
      <c r="B332" s="62"/>
      <c r="C332" s="62"/>
      <c r="D332" s="62"/>
      <c r="E332" s="61"/>
      <c r="F332" s="62"/>
      <c r="G332" s="61"/>
      <c r="H332" s="61"/>
      <c r="I332" s="62"/>
      <c r="J332" s="62"/>
      <c r="K332" s="62"/>
      <c r="L332" s="62"/>
      <c r="M332" s="62"/>
    </row>
    <row r="333" spans="1:13" x14ac:dyDescent="0.25">
      <c r="A333" s="62"/>
      <c r="B333" s="62"/>
      <c r="C333" s="62"/>
      <c r="D333" s="62"/>
      <c r="E333" s="61"/>
      <c r="F333" s="62"/>
      <c r="G333" s="61"/>
      <c r="H333" s="61"/>
      <c r="I333" s="62"/>
      <c r="J333" s="62"/>
      <c r="K333" s="62"/>
      <c r="L333" s="62"/>
      <c r="M333" s="62"/>
    </row>
    <row r="334" spans="1:13" x14ac:dyDescent="0.25">
      <c r="A334" s="62"/>
      <c r="B334" s="62"/>
      <c r="C334" s="62"/>
      <c r="D334" s="62"/>
      <c r="E334" s="61"/>
      <c r="F334" s="62"/>
      <c r="G334" s="61"/>
      <c r="H334" s="61"/>
      <c r="I334" s="62"/>
      <c r="J334" s="62"/>
      <c r="K334" s="62"/>
      <c r="L334" s="62"/>
      <c r="M334" s="62"/>
    </row>
    <row r="335" spans="1:13" x14ac:dyDescent="0.25">
      <c r="A335" s="62"/>
      <c r="B335" s="62"/>
      <c r="C335" s="62"/>
      <c r="D335" s="62"/>
      <c r="E335" s="61"/>
      <c r="F335" s="62"/>
      <c r="G335" s="61"/>
      <c r="H335" s="61"/>
      <c r="I335" s="62"/>
      <c r="J335" s="62"/>
      <c r="K335" s="62"/>
      <c r="L335" s="62"/>
      <c r="M335" s="62"/>
    </row>
    <row r="336" spans="1:13" x14ac:dyDescent="0.25">
      <c r="A336" s="62"/>
      <c r="B336" s="62"/>
      <c r="C336" s="62"/>
      <c r="D336" s="62"/>
      <c r="E336" s="61"/>
      <c r="F336" s="62"/>
      <c r="G336" s="61"/>
      <c r="H336" s="61"/>
      <c r="I336" s="62"/>
      <c r="J336" s="62"/>
      <c r="K336" s="62"/>
      <c r="L336" s="62"/>
      <c r="M336" s="62"/>
    </row>
    <row r="337" spans="1:13" x14ac:dyDescent="0.25">
      <c r="A337" s="62"/>
      <c r="B337" s="62"/>
      <c r="C337" s="62"/>
      <c r="D337" s="62"/>
      <c r="E337" s="61"/>
      <c r="F337" s="62"/>
      <c r="G337" s="61"/>
      <c r="H337" s="61"/>
      <c r="I337" s="62"/>
      <c r="J337" s="62"/>
      <c r="K337" s="62"/>
      <c r="L337" s="62"/>
      <c r="M337" s="62"/>
    </row>
    <row r="338" spans="1:13" x14ac:dyDescent="0.25">
      <c r="A338" s="62"/>
      <c r="B338" s="62"/>
      <c r="C338" s="62"/>
      <c r="D338" s="62"/>
      <c r="E338" s="61"/>
      <c r="F338" s="62"/>
      <c r="G338" s="61"/>
      <c r="H338" s="61"/>
      <c r="I338" s="62"/>
      <c r="J338" s="62"/>
      <c r="K338" s="62"/>
      <c r="L338" s="62"/>
      <c r="M338" s="62"/>
    </row>
    <row r="339" spans="1:13" x14ac:dyDescent="0.25">
      <c r="A339" s="62"/>
      <c r="B339" s="62"/>
      <c r="C339" s="62"/>
      <c r="D339" s="62"/>
      <c r="E339" s="61"/>
      <c r="F339" s="62"/>
      <c r="G339" s="61"/>
      <c r="H339" s="61"/>
      <c r="I339" s="62"/>
      <c r="J339" s="62"/>
      <c r="K339" s="62"/>
      <c r="L339" s="62"/>
      <c r="M339" s="62"/>
    </row>
    <row r="340" spans="1:13" x14ac:dyDescent="0.25">
      <c r="A340" s="62"/>
      <c r="B340" s="62"/>
      <c r="C340" s="62"/>
      <c r="D340" s="62"/>
      <c r="E340" s="61"/>
      <c r="F340" s="62"/>
      <c r="G340" s="61"/>
      <c r="H340" s="61"/>
      <c r="I340" s="62"/>
      <c r="J340" s="62"/>
      <c r="K340" s="62"/>
      <c r="L340" s="62"/>
      <c r="M340" s="62"/>
    </row>
    <row r="341" spans="1:13" x14ac:dyDescent="0.25">
      <c r="A341" s="62"/>
      <c r="B341" s="62"/>
      <c r="C341" s="62"/>
      <c r="D341" s="62"/>
      <c r="E341" s="61"/>
      <c r="F341" s="62"/>
      <c r="G341" s="61"/>
      <c r="H341" s="61"/>
      <c r="I341" s="62"/>
      <c r="J341" s="62"/>
      <c r="K341" s="62"/>
      <c r="L341" s="62"/>
      <c r="M341" s="62"/>
    </row>
    <row r="342" spans="1:13" x14ac:dyDescent="0.25">
      <c r="A342" s="62"/>
      <c r="B342" s="62"/>
      <c r="C342" s="62"/>
      <c r="D342" s="62"/>
      <c r="E342" s="61"/>
      <c r="F342" s="62"/>
      <c r="G342" s="61"/>
      <c r="H342" s="61"/>
      <c r="I342" s="62"/>
      <c r="J342" s="62"/>
      <c r="K342" s="62"/>
      <c r="L342" s="62"/>
      <c r="M342" s="62"/>
    </row>
    <row r="343" spans="1:13" x14ac:dyDescent="0.25">
      <c r="A343" s="62"/>
      <c r="B343" s="62"/>
      <c r="C343" s="62"/>
      <c r="D343" s="62"/>
      <c r="E343" s="61"/>
      <c r="F343" s="62"/>
      <c r="G343" s="61"/>
      <c r="H343" s="61"/>
      <c r="I343" s="62"/>
      <c r="J343" s="62"/>
      <c r="K343" s="62"/>
      <c r="L343" s="62"/>
      <c r="M343" s="62"/>
    </row>
    <row r="344" spans="1:13" x14ac:dyDescent="0.25">
      <c r="A344" s="62"/>
      <c r="B344" s="62"/>
      <c r="C344" s="62"/>
      <c r="D344" s="62"/>
      <c r="E344" s="61"/>
      <c r="F344" s="62"/>
      <c r="G344" s="61"/>
      <c r="H344" s="61"/>
      <c r="I344" s="62"/>
      <c r="J344" s="62"/>
      <c r="K344" s="62"/>
      <c r="L344" s="62"/>
      <c r="M344" s="62"/>
    </row>
    <row r="345" spans="1:13" x14ac:dyDescent="0.25">
      <c r="A345" s="62"/>
      <c r="B345" s="62"/>
      <c r="C345" s="62"/>
      <c r="D345" s="62"/>
      <c r="E345" s="61"/>
      <c r="F345" s="62"/>
      <c r="G345" s="61"/>
      <c r="H345" s="61"/>
      <c r="I345" s="62"/>
      <c r="J345" s="62"/>
      <c r="K345" s="62"/>
      <c r="L345" s="62"/>
      <c r="M345" s="62"/>
    </row>
    <row r="346" spans="1:13" x14ac:dyDescent="0.25">
      <c r="A346" s="62"/>
      <c r="B346" s="62"/>
      <c r="C346" s="62"/>
      <c r="D346" s="62"/>
      <c r="E346" s="61"/>
      <c r="F346" s="62"/>
      <c r="G346" s="61"/>
      <c r="H346" s="61"/>
      <c r="I346" s="62"/>
      <c r="J346" s="62"/>
      <c r="K346" s="62"/>
      <c r="L346" s="62"/>
      <c r="M346" s="62"/>
    </row>
    <row r="347" spans="1:13" x14ac:dyDescent="0.25">
      <c r="A347" s="62"/>
      <c r="B347" s="62"/>
      <c r="C347" s="62"/>
      <c r="D347" s="62"/>
      <c r="E347" s="61"/>
      <c r="F347" s="62"/>
      <c r="G347" s="61"/>
      <c r="H347" s="61"/>
      <c r="I347" s="62"/>
      <c r="J347" s="62"/>
      <c r="K347" s="62"/>
      <c r="L347" s="62"/>
      <c r="M347" s="62"/>
    </row>
    <row r="348" spans="1:13" x14ac:dyDescent="0.25">
      <c r="A348" s="62"/>
      <c r="B348" s="62"/>
      <c r="C348" s="62"/>
      <c r="D348" s="62"/>
      <c r="E348" s="61"/>
      <c r="F348" s="62"/>
      <c r="G348" s="61"/>
      <c r="H348" s="61"/>
      <c r="I348" s="62"/>
      <c r="J348" s="62"/>
      <c r="K348" s="62"/>
      <c r="L348" s="62"/>
      <c r="M348" s="62"/>
    </row>
    <row r="349" spans="1:13" x14ac:dyDescent="0.25">
      <c r="A349" s="62"/>
      <c r="B349" s="62"/>
      <c r="C349" s="62"/>
      <c r="D349" s="62"/>
      <c r="E349" s="61"/>
      <c r="F349" s="62"/>
      <c r="G349" s="61"/>
      <c r="H349" s="61"/>
      <c r="I349" s="62"/>
      <c r="J349" s="62"/>
      <c r="K349" s="62"/>
      <c r="L349" s="62"/>
      <c r="M349" s="62"/>
    </row>
    <row r="350" spans="1:13" x14ac:dyDescent="0.25">
      <c r="A350" s="62"/>
      <c r="B350" s="62"/>
      <c r="C350" s="62"/>
      <c r="D350" s="62"/>
      <c r="E350" s="61"/>
      <c r="F350" s="62"/>
      <c r="G350" s="61"/>
      <c r="H350" s="61"/>
      <c r="I350" s="62"/>
      <c r="J350" s="62"/>
      <c r="K350" s="62"/>
      <c r="L350" s="62"/>
      <c r="M350" s="62"/>
    </row>
    <row r="351" spans="1:13" x14ac:dyDescent="0.25">
      <c r="A351" s="62"/>
      <c r="B351" s="62"/>
      <c r="C351" s="62"/>
      <c r="D351" s="62"/>
      <c r="E351" s="61"/>
      <c r="F351" s="62"/>
      <c r="G351" s="61"/>
      <c r="H351" s="61"/>
      <c r="I351" s="62"/>
      <c r="J351" s="62"/>
      <c r="K351" s="62"/>
      <c r="L351" s="62"/>
      <c r="M351" s="62"/>
    </row>
    <row r="352" spans="1:13" x14ac:dyDescent="0.25">
      <c r="A352" s="62"/>
      <c r="B352" s="62"/>
      <c r="C352" s="62"/>
      <c r="D352" s="62"/>
      <c r="E352" s="61"/>
      <c r="F352" s="62"/>
      <c r="G352" s="61"/>
      <c r="H352" s="61"/>
      <c r="I352" s="62"/>
      <c r="J352" s="62"/>
      <c r="K352" s="62"/>
      <c r="L352" s="62"/>
      <c r="M352" s="62"/>
    </row>
    <row r="353" spans="1:13" x14ac:dyDescent="0.25">
      <c r="A353" s="62"/>
      <c r="B353" s="62"/>
      <c r="C353" s="62"/>
      <c r="D353" s="62"/>
      <c r="E353" s="61"/>
      <c r="F353" s="62"/>
      <c r="G353" s="61"/>
      <c r="H353" s="61"/>
      <c r="I353" s="62"/>
      <c r="J353" s="62"/>
      <c r="K353" s="62"/>
      <c r="L353" s="62"/>
      <c r="M353" s="62"/>
    </row>
    <row r="354" spans="1:13" x14ac:dyDescent="0.25">
      <c r="A354" s="62"/>
      <c r="B354" s="62"/>
      <c r="C354" s="62"/>
      <c r="D354" s="62"/>
      <c r="E354" s="61"/>
      <c r="F354" s="62"/>
      <c r="G354" s="61"/>
      <c r="H354" s="61"/>
      <c r="I354" s="62"/>
      <c r="J354" s="62"/>
      <c r="K354" s="62"/>
      <c r="L354" s="62"/>
      <c r="M354" s="62"/>
    </row>
    <row r="355" spans="1:13" x14ac:dyDescent="0.25">
      <c r="A355" s="62"/>
      <c r="B355" s="62"/>
      <c r="C355" s="62"/>
      <c r="D355" s="62"/>
      <c r="E355" s="61"/>
      <c r="F355" s="62"/>
      <c r="G355" s="61"/>
      <c r="H355" s="61"/>
      <c r="I355" s="62"/>
      <c r="J355" s="62"/>
      <c r="K355" s="62"/>
      <c r="L355" s="62"/>
      <c r="M355" s="62"/>
    </row>
  </sheetData>
  <sheetProtection algorithmName="SHA-512" hashValue="B14SAEUNFHN1W4bPAAmcdrL8j1zazNuBvMzxbYa95P//6vU+yCOtjstqYUNd0kBZnCuhn/tInA5wKJfxgqGISw==" saltValue="EZTZbyHM+ojna6BuNKJWPw==" spinCount="100000" sheet="1" objects="1" scenarios="1"/>
  <mergeCells count="34">
    <mergeCell ref="A24:C24"/>
    <mergeCell ref="A31:C31"/>
    <mergeCell ref="A32:C32"/>
    <mergeCell ref="F25:J25"/>
    <mergeCell ref="A26:C26"/>
    <mergeCell ref="A27:C27"/>
    <mergeCell ref="A28:C28"/>
    <mergeCell ref="A29:C29"/>
    <mergeCell ref="A30:C30"/>
    <mergeCell ref="A23:C23"/>
    <mergeCell ref="A13:C14"/>
    <mergeCell ref="D13:D14"/>
    <mergeCell ref="E15:F15"/>
    <mergeCell ref="A16:C17"/>
    <mergeCell ref="D16:D17"/>
    <mergeCell ref="E16:E17"/>
    <mergeCell ref="F16:J16"/>
    <mergeCell ref="A18:C18"/>
    <mergeCell ref="A19:C19"/>
    <mergeCell ref="A20:C20"/>
    <mergeCell ref="A21:C21"/>
    <mergeCell ref="A22:C22"/>
    <mergeCell ref="A7:C8"/>
    <mergeCell ref="D7:D8"/>
    <mergeCell ref="A9:C10"/>
    <mergeCell ref="D9:D10"/>
    <mergeCell ref="A11:C12"/>
    <mergeCell ref="D11:D12"/>
    <mergeCell ref="B1:I1"/>
    <mergeCell ref="A2:C2"/>
    <mergeCell ref="A3:C4"/>
    <mergeCell ref="D3:D4"/>
    <mergeCell ref="A5:C6"/>
    <mergeCell ref="D5:D6"/>
  </mergeCells>
  <conditionalFormatting sqref="D11">
    <cfRule type="expression" dxfId="69" priority="1" stopIfTrue="1">
      <formula>ISNUMBER(D2)</formula>
    </cfRule>
  </conditionalFormatting>
  <conditionalFormatting sqref="D9">
    <cfRule type="expression" dxfId="68" priority="2" stopIfTrue="1">
      <formula>NOT(ISNUMBER(D2))</formula>
    </cfRule>
  </conditionalFormatting>
  <conditionalFormatting sqref="D13">
    <cfRule type="expression" dxfId="67" priority="3" stopIfTrue="1">
      <formula>ISNUMBER(D2)</formula>
    </cfRule>
    <cfRule type="expression" dxfId="66" priority="4" stopIfTrue="1">
      <formula>NOT(ISNUMBER(D2))</formula>
    </cfRule>
  </conditionalFormatting>
  <conditionalFormatting sqref="D26">
    <cfRule type="expression" dxfId="65" priority="11" stopIfTrue="1">
      <formula>ISNUMBER(G2)</formula>
    </cfRule>
  </conditionalFormatting>
  <conditionalFormatting sqref="D3:D4">
    <cfRule type="expression" dxfId="64" priority="12" stopIfTrue="1">
      <formula>NOT(ISBLANK(D2))</formula>
    </cfRule>
  </conditionalFormatting>
  <conditionalFormatting sqref="A26:C26">
    <cfRule type="expression" dxfId="63" priority="13" stopIfTrue="1">
      <formula>D2&gt;1</formula>
    </cfRule>
  </conditionalFormatting>
  <conditionalFormatting sqref="A27:C27">
    <cfRule type="expression" dxfId="62" priority="14" stopIfTrue="1">
      <formula>AND(D2&gt;1,ISNUMBER(E27))</formula>
    </cfRule>
  </conditionalFormatting>
  <conditionalFormatting sqref="A28:C28">
    <cfRule type="expression" dxfId="61" priority="15" stopIfTrue="1">
      <formula>AND(D2&gt;1,ISNUMBER(E28))</formula>
    </cfRule>
  </conditionalFormatting>
  <conditionalFormatting sqref="A29:C29">
    <cfRule type="expression" dxfId="60" priority="16" stopIfTrue="1">
      <formula>AND(D2&gt;1,ISNUMBER(E29))</formula>
    </cfRule>
  </conditionalFormatting>
  <conditionalFormatting sqref="A30:C30">
    <cfRule type="expression" dxfId="59" priority="17" stopIfTrue="1">
      <formula>AND(D2&gt;1,ISNUMBER(E30))</formula>
    </cfRule>
  </conditionalFormatting>
  <conditionalFormatting sqref="A31:C31">
    <cfRule type="expression" dxfId="58" priority="18" stopIfTrue="1">
      <formula>AND(D2&gt;1,ISNUMBER(E31))</formula>
    </cfRule>
  </conditionalFormatting>
  <conditionalFormatting sqref="A32:C32">
    <cfRule type="expression" dxfId="57" priority="19" stopIfTrue="1">
      <formula>AND(D2&gt;1,ISNUMBER(E32))</formula>
    </cfRule>
  </conditionalFormatting>
  <conditionalFormatting sqref="F25:J25">
    <cfRule type="expression" dxfId="56" priority="20" stopIfTrue="1">
      <formula>D2&gt;1</formula>
    </cfRule>
  </conditionalFormatting>
  <conditionalFormatting sqref="D27">
    <cfRule type="expression" dxfId="55" priority="21" stopIfTrue="1">
      <formula>AND(D2&gt;1,ISNUMBER(E27))</formula>
    </cfRule>
  </conditionalFormatting>
  <conditionalFormatting sqref="D28">
    <cfRule type="expression" dxfId="54" priority="22" stopIfTrue="1">
      <formula>AND(D2&gt;1,ISNUMBER(E28))</formula>
    </cfRule>
  </conditionalFormatting>
  <conditionalFormatting sqref="D29">
    <cfRule type="expression" dxfId="53" priority="23" stopIfTrue="1">
      <formula>AND(D2&gt;1,ISNUMBER(E29))</formula>
    </cfRule>
  </conditionalFormatting>
  <conditionalFormatting sqref="D30">
    <cfRule type="expression" dxfId="52" priority="24" stopIfTrue="1">
      <formula>AND(D2&gt;1,ISNUMBER(E30))</formula>
    </cfRule>
  </conditionalFormatting>
  <conditionalFormatting sqref="D31">
    <cfRule type="expression" dxfId="51" priority="25" stopIfTrue="1">
      <formula>AND(D2&gt;1,ISNUMBER(E31))</formula>
    </cfRule>
  </conditionalFormatting>
  <conditionalFormatting sqref="D32">
    <cfRule type="expression" dxfId="50" priority="26" stopIfTrue="1">
      <formula>AND(D2&gt;1,ISNUMBER(E32))</formula>
    </cfRule>
  </conditionalFormatting>
  <conditionalFormatting sqref="E26">
    <cfRule type="expression" dxfId="49" priority="27" stopIfTrue="1">
      <formula>D2&gt;1</formula>
    </cfRule>
  </conditionalFormatting>
  <conditionalFormatting sqref="E27">
    <cfRule type="expression" dxfId="48" priority="28" stopIfTrue="1">
      <formula>AND(D2&gt;1,ISNUMBER(E27))</formula>
    </cfRule>
  </conditionalFormatting>
  <conditionalFormatting sqref="E28">
    <cfRule type="expression" dxfId="47" priority="29" stopIfTrue="1">
      <formula>AND(D2&gt;1,ISNUMBER(E28))</formula>
    </cfRule>
  </conditionalFormatting>
  <conditionalFormatting sqref="E29">
    <cfRule type="expression" dxfId="46" priority="30" stopIfTrue="1">
      <formula>AND(D2&gt;1,ISNUMBER(E29))</formula>
    </cfRule>
  </conditionalFormatting>
  <conditionalFormatting sqref="E30">
    <cfRule type="expression" dxfId="45" priority="31" stopIfTrue="1">
      <formula>AND(D2&gt;1,ISNUMBER(E30))</formula>
    </cfRule>
  </conditionalFormatting>
  <conditionalFormatting sqref="E31">
    <cfRule type="expression" dxfId="44" priority="32" stopIfTrue="1">
      <formula>AND(D2&gt;1,ISNUMBER(E31))</formula>
    </cfRule>
  </conditionalFormatting>
  <conditionalFormatting sqref="E32">
    <cfRule type="expression" dxfId="43" priority="33" stopIfTrue="1">
      <formula>AND(D2&gt;1,ISNUMBER(E32))</formula>
    </cfRule>
  </conditionalFormatting>
  <conditionalFormatting sqref="F26">
    <cfRule type="expression" dxfId="42" priority="34" stopIfTrue="1">
      <formula>D2&gt;1</formula>
    </cfRule>
  </conditionalFormatting>
  <conditionalFormatting sqref="G26">
    <cfRule type="expression" dxfId="41" priority="35" stopIfTrue="1">
      <formula>D2&gt;1</formula>
    </cfRule>
  </conditionalFormatting>
  <conditionalFormatting sqref="H26">
    <cfRule type="expression" dxfId="40" priority="36" stopIfTrue="1">
      <formula>D2&gt;1</formula>
    </cfRule>
  </conditionalFormatting>
  <conditionalFormatting sqref="I26">
    <cfRule type="expression" dxfId="39" priority="37" stopIfTrue="1">
      <formula>D2&gt;1</formula>
    </cfRule>
  </conditionalFormatting>
  <conditionalFormatting sqref="J26">
    <cfRule type="expression" dxfId="38" priority="38" stopIfTrue="1">
      <formula>D2&gt;1</formula>
    </cfRule>
  </conditionalFormatting>
  <conditionalFormatting sqref="G27">
    <cfRule type="expression" dxfId="37" priority="39" stopIfTrue="1">
      <formula>D2&gt;1</formula>
    </cfRule>
  </conditionalFormatting>
  <conditionalFormatting sqref="H27">
    <cfRule type="expression" dxfId="36" priority="40" stopIfTrue="1">
      <formula>D2&gt;1</formula>
    </cfRule>
  </conditionalFormatting>
  <conditionalFormatting sqref="I27">
    <cfRule type="expression" dxfId="35" priority="41" stopIfTrue="1">
      <formula>D2&gt;1</formula>
    </cfRule>
  </conditionalFormatting>
  <conditionalFormatting sqref="J27">
    <cfRule type="expression" dxfId="34" priority="42" stopIfTrue="1">
      <formula>D2&gt;1</formula>
    </cfRule>
  </conditionalFormatting>
  <conditionalFormatting sqref="J28">
    <cfRule type="expression" dxfId="33" priority="43" stopIfTrue="1">
      <formula>D2&gt;1</formula>
    </cfRule>
  </conditionalFormatting>
  <conditionalFormatting sqref="I28">
    <cfRule type="expression" dxfId="32" priority="44" stopIfTrue="1">
      <formula>D2&gt;1</formula>
    </cfRule>
  </conditionalFormatting>
  <conditionalFormatting sqref="H28">
    <cfRule type="expression" dxfId="31" priority="45" stopIfTrue="1">
      <formula>D2&gt;1</formula>
    </cfRule>
  </conditionalFormatting>
  <conditionalFormatting sqref="G28">
    <cfRule type="expression" dxfId="30" priority="46" stopIfTrue="1">
      <formula>D2&gt;1</formula>
    </cfRule>
  </conditionalFormatting>
  <conditionalFormatting sqref="F28">
    <cfRule type="expression" dxfId="29" priority="47" stopIfTrue="1">
      <formula>D2&gt;1</formula>
    </cfRule>
  </conditionalFormatting>
  <conditionalFormatting sqref="F29">
    <cfRule type="expression" dxfId="28" priority="48" stopIfTrue="1">
      <formula>D2&gt;1</formula>
    </cfRule>
  </conditionalFormatting>
  <conditionalFormatting sqref="G29">
    <cfRule type="expression" dxfId="27" priority="49" stopIfTrue="1">
      <formula>D2&gt;1</formula>
    </cfRule>
  </conditionalFormatting>
  <conditionalFormatting sqref="H29">
    <cfRule type="expression" dxfId="26" priority="50" stopIfTrue="1">
      <formula>D2&gt;1</formula>
    </cfRule>
  </conditionalFormatting>
  <conditionalFormatting sqref="I29">
    <cfRule type="expression" dxfId="25" priority="51" stopIfTrue="1">
      <formula>D2&gt;1</formula>
    </cfRule>
  </conditionalFormatting>
  <conditionalFormatting sqref="J29">
    <cfRule type="expression" dxfId="24" priority="52" stopIfTrue="1">
      <formula>D2&gt;1</formula>
    </cfRule>
  </conditionalFormatting>
  <conditionalFormatting sqref="J30">
    <cfRule type="expression" dxfId="23" priority="53" stopIfTrue="1">
      <formula>D2&gt;1</formula>
    </cfRule>
  </conditionalFormatting>
  <conditionalFormatting sqref="I30">
    <cfRule type="expression" dxfId="22" priority="54" stopIfTrue="1">
      <formula>D2&gt;1</formula>
    </cfRule>
  </conditionalFormatting>
  <conditionalFormatting sqref="H30">
    <cfRule type="expression" dxfId="21" priority="55" stopIfTrue="1">
      <formula>D2&gt;1</formula>
    </cfRule>
  </conditionalFormatting>
  <conditionalFormatting sqref="G30">
    <cfRule type="expression" dxfId="20" priority="56" stopIfTrue="1">
      <formula>D2&gt;1</formula>
    </cfRule>
  </conditionalFormatting>
  <conditionalFormatting sqref="F30">
    <cfRule type="expression" dxfId="19" priority="57" stopIfTrue="1">
      <formula>D2&gt;1</formula>
    </cfRule>
  </conditionalFormatting>
  <conditionalFormatting sqref="F31">
    <cfRule type="expression" dxfId="18" priority="58" stopIfTrue="1">
      <formula>D2&gt;1</formula>
    </cfRule>
  </conditionalFormatting>
  <conditionalFormatting sqref="G31">
    <cfRule type="expression" dxfId="17" priority="59" stopIfTrue="1">
      <formula>D2&gt;1</formula>
    </cfRule>
  </conditionalFormatting>
  <conditionalFormatting sqref="H31">
    <cfRule type="expression" dxfId="16" priority="60" stopIfTrue="1">
      <formula>D2&gt;1</formula>
    </cfRule>
  </conditionalFormatting>
  <conditionalFormatting sqref="I31">
    <cfRule type="expression" dxfId="15" priority="61" stopIfTrue="1">
      <formula>D2&gt;1</formula>
    </cfRule>
  </conditionalFormatting>
  <conditionalFormatting sqref="J31">
    <cfRule type="expression" dxfId="14" priority="62" stopIfTrue="1">
      <formula>D2&gt;1</formula>
    </cfRule>
  </conditionalFormatting>
  <conditionalFormatting sqref="J32">
    <cfRule type="expression" dxfId="13" priority="63" stopIfTrue="1">
      <formula>D2&gt;1</formula>
    </cfRule>
  </conditionalFormatting>
  <conditionalFormatting sqref="I32">
    <cfRule type="expression" dxfId="12" priority="64" stopIfTrue="1">
      <formula>D2&gt;1</formula>
    </cfRule>
  </conditionalFormatting>
  <conditionalFormatting sqref="H32">
    <cfRule type="expression" dxfId="11" priority="65" stopIfTrue="1">
      <formula>D2&gt;1</formula>
    </cfRule>
  </conditionalFormatting>
  <conditionalFormatting sqref="G32">
    <cfRule type="expression" dxfId="10" priority="66" stopIfTrue="1">
      <formula>D2&gt;1</formula>
    </cfRule>
  </conditionalFormatting>
  <conditionalFormatting sqref="F32">
    <cfRule type="expression" dxfId="9" priority="67" stopIfTrue="1">
      <formula>D2&gt;1</formula>
    </cfRule>
  </conditionalFormatting>
  <conditionalFormatting sqref="F27">
    <cfRule type="expression" dxfId="8" priority="68" stopIfTrue="1">
      <formula>D2&gt;1</formula>
    </cfRule>
  </conditionalFormatting>
  <conditionalFormatting sqref="J15">
    <cfRule type="cellIs" dxfId="7" priority="69" stopIfTrue="1" operator="greaterThan">
      <formula>0</formula>
    </cfRule>
  </conditionalFormatting>
  <conditionalFormatting sqref="E3:E14 D2">
    <cfRule type="cellIs" dxfId="6" priority="70" stopIfTrue="1" operator="greaterThan">
      <formula>0</formula>
    </cfRule>
  </conditionalFormatting>
  <conditionalFormatting sqref="E18:E23">
    <cfRule type="expression" dxfId="5" priority="72" stopIfTrue="1">
      <formula>NOT(ISNUMBER(E18))</formula>
    </cfRule>
  </conditionalFormatting>
  <conditionalFormatting sqref="F18:J22">
    <cfRule type="expression" dxfId="4" priority="73" stopIfTrue="1">
      <formula>F18=0</formula>
    </cfRule>
    <cfRule type="expression" dxfId="3" priority="74" stopIfTrue="1">
      <formula>AND(NOT(F18="Father"),NOT(F18="Mother"))</formula>
    </cfRule>
  </conditionalFormatting>
  <conditionalFormatting sqref="F23">
    <cfRule type="expression" dxfId="2" priority="81" stopIfTrue="1">
      <formula>F23=0</formula>
    </cfRule>
    <cfRule type="expression" dxfId="1" priority="82" stopIfTrue="1">
      <formula>AND(NOT(F23="Father"),NOT(F23="Mother"))</formula>
    </cfRule>
  </conditionalFormatting>
  <conditionalFormatting sqref="F3:F14 J14">
    <cfRule type="cellIs" dxfId="0" priority="85" stopIfTrue="1" operator="greaterThan">
      <formula>0</formula>
    </cfRule>
  </conditionalFormatting>
  <dataValidations count="2">
    <dataValidation allowBlank="1" showInputMessage="1" showErrorMessage="1" promptTitle="Customized Tax Deductions" prompt="Enter Any Number Greater Than 1 To Customize Tax Deduction Table Shown In Blue Below.  To Compare To Tax Deduction Schedule Delete Number." sqref="D2" xr:uid="{00000000-0002-0000-0500-000000000000}"/>
    <dataValidation allowBlank="1" showInputMessage="1" showErrorMessage="1" promptTitle="Parent Entitled To Deduction" prompt="Enter &quot;Father&quot; or &quot;Mother&quot; For Each Child &amp; Each Year To Customize Tax Deductions." sqref="F27:J32" xr:uid="{00000000-0002-0000-0500-000001000000}"/>
  </dataValidations>
  <pageMargins left="0.5" right="0.5" top="1" bottom="1.5"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F5B07349176D45BD36457C5F7EA1B6" ma:contentTypeVersion="2" ma:contentTypeDescription="Create a new document." ma:contentTypeScope="" ma:versionID="54cb7d17c67f5ce4313edb520e83f417">
  <xsd:schema xmlns:xsd="http://www.w3.org/2001/XMLSchema" xmlns:xs="http://www.w3.org/2001/XMLSchema" xmlns:p="http://schemas.microsoft.com/office/2006/metadata/properties" xmlns:ns2="d1b0c843-56f1-4fec-aea4-9e4b63463090" targetNamespace="http://schemas.microsoft.com/office/2006/metadata/properties" ma:root="true" ma:fieldsID="30a0eeea99ba40c1ddc497bcfcafbe5d" ns2:_="">
    <xsd:import namespace="d1b0c843-56f1-4fec-aea4-9e4b6346309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b0c843-56f1-4fec-aea4-9e4b63463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DFBC78-19C0-4FBB-9F4B-1761D10E6BD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826DFBC-04C6-4B6B-8A96-7F988A144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b0c843-56f1-4fec-aea4-9e4b634630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EA7775-C3A7-487F-A1E9-37941985F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93</vt:i4>
      </vt:variant>
    </vt:vector>
  </HeadingPairs>
  <TitlesOfParts>
    <vt:vector size="108" baseType="lpstr">
      <vt:lpstr>Worksheet</vt:lpstr>
      <vt:lpstr>AppendixA</vt:lpstr>
      <vt:lpstr>ChildSupportOrder</vt:lpstr>
      <vt:lpstr>Paternity Judgment &amp; Order</vt:lpstr>
      <vt:lpstr>IWO</vt:lpstr>
      <vt:lpstr>Schedule</vt:lpstr>
      <vt:lpstr>Parenting Time</vt:lpstr>
      <vt:lpstr>2011 Schedule</vt:lpstr>
      <vt:lpstr>County</vt:lpstr>
      <vt:lpstr>DefinedNames</vt:lpstr>
      <vt:lpstr>Order of Assignment</vt:lpstr>
      <vt:lpstr>Paragraphs</vt:lpstr>
      <vt:lpstr>PTD</vt:lpstr>
      <vt:lpstr>Tax</vt:lpstr>
      <vt:lpstr>TaxAB</vt:lpstr>
      <vt:lpstr>AdjustedChildSupportIncomeA</vt:lpstr>
      <vt:lpstr>AdjustedChildSupportIncomeB</vt:lpstr>
      <vt:lpstr>AppAAlimony</vt:lpstr>
      <vt:lpstr>AppAAttributed</vt:lpstr>
      <vt:lpstr>AppACAGI</vt:lpstr>
      <vt:lpstr>AppACAGIShare</vt:lpstr>
      <vt:lpstr>AppAChildCare</vt:lpstr>
      <vt:lpstr>AppAEducation</vt:lpstr>
      <vt:lpstr>AppAExtraordinary</vt:lpstr>
      <vt:lpstr>AppAIncome</vt:lpstr>
      <vt:lpstr>AppAMedical</vt:lpstr>
      <vt:lpstr>AppAObligation</vt:lpstr>
      <vt:lpstr>AppAOver12</vt:lpstr>
      <vt:lpstr>AppAParentingTime</vt:lpstr>
      <vt:lpstr>AppASSRT</vt:lpstr>
      <vt:lpstr>AppASupport</vt:lpstr>
      <vt:lpstr>AppASupportOther</vt:lpstr>
      <vt:lpstr>AppATotalAdjustments</vt:lpstr>
      <vt:lpstr>AppendixABody</vt:lpstr>
      <vt:lpstr>BasicChildSupportObligation</vt:lpstr>
      <vt:lpstr>BasicChildSupportObligationAdjustmentsA</vt:lpstr>
      <vt:lpstr>BasicChildSupportObligationAdjustmentsB</vt:lpstr>
      <vt:lpstr>CaseNumber</vt:lpstr>
      <vt:lpstr>ChildChildren</vt:lpstr>
      <vt:lpstr>ChildDobExists</vt:lpstr>
      <vt:lpstr>Children</vt:lpstr>
      <vt:lpstr>Children12Over</vt:lpstr>
      <vt:lpstr>Children12Under</vt:lpstr>
      <vt:lpstr>ChildrenOtherA</vt:lpstr>
      <vt:lpstr>ChildrenOtherB</vt:lpstr>
      <vt:lpstr>ChildSupportIncomeA</vt:lpstr>
      <vt:lpstr>ChildSupportIncomeB</vt:lpstr>
      <vt:lpstr>ChildSupportObligationA</vt:lpstr>
      <vt:lpstr>ChildSupportObligationB</vt:lpstr>
      <vt:lpstr>CombinedAdjustedChildSupportIncome</vt:lpstr>
      <vt:lpstr>CombinedChildSupportObligation</vt:lpstr>
      <vt:lpstr>County</vt:lpstr>
      <vt:lpstr>CustodyAdjA</vt:lpstr>
      <vt:lpstr>CustodyAdjB</vt:lpstr>
      <vt:lpstr>CustodyCountA</vt:lpstr>
      <vt:lpstr>CustodyCountB</vt:lpstr>
      <vt:lpstr>CustomTaxDeduction</vt:lpstr>
      <vt:lpstr>EmployerFEIN</vt:lpstr>
      <vt:lpstr>EqualTimeA</vt:lpstr>
      <vt:lpstr>EqualTimeB</vt:lpstr>
      <vt:lpstr>FinalChildSupportObligationA</vt:lpstr>
      <vt:lpstr>FinalChildSupportObligationB</vt:lpstr>
      <vt:lpstr>IVD</vt:lpstr>
      <vt:lpstr>MaxCAGI</vt:lpstr>
      <vt:lpstr>MinCAGI</vt:lpstr>
      <vt:lpstr>ObligationForOtherChildrenA</vt:lpstr>
      <vt:lpstr>ObligationForOtherChildrenB</vt:lpstr>
      <vt:lpstr>ObligationPercentageA</vt:lpstr>
      <vt:lpstr>ObligationPercentageB</vt:lpstr>
      <vt:lpstr>Obligations</vt:lpstr>
      <vt:lpstr>ObligationShareA</vt:lpstr>
      <vt:lpstr>ObligationShareB</vt:lpstr>
      <vt:lpstr>Obligee</vt:lpstr>
      <vt:lpstr>Obligor</vt:lpstr>
      <vt:lpstr>ObligorACSI</vt:lpstr>
      <vt:lpstr>ObligorName</vt:lpstr>
      <vt:lpstr>OlderChildAdjustment</vt:lpstr>
      <vt:lpstr>OlderChildAdjustmentRate</vt:lpstr>
      <vt:lpstr>OrderDate</vt:lpstr>
      <vt:lpstr>paraContested</vt:lpstr>
      <vt:lpstr>ParentingPlan</vt:lpstr>
      <vt:lpstr>ParentingTime</vt:lpstr>
      <vt:lpstr>ParentingTimeAdjustmentA</vt:lpstr>
      <vt:lpstr>ParentingTimeAdjustmentB</vt:lpstr>
      <vt:lpstr>ParentingTimePercentage</vt:lpstr>
      <vt:lpstr>Petitioner</vt:lpstr>
      <vt:lpstr>PetitionerCaption</vt:lpstr>
      <vt:lpstr>PetitionerCaptionPrefix</vt:lpstr>
      <vt:lpstr>AppendixA!Print_Area</vt:lpstr>
      <vt:lpstr>ChildSupportOrder!Print_Area</vt:lpstr>
      <vt:lpstr>IWO!Print_Area</vt:lpstr>
      <vt:lpstr>'Order of Assignment'!Print_Area</vt:lpstr>
      <vt:lpstr>'Paternity Judgment &amp; Order'!Print_Area</vt:lpstr>
      <vt:lpstr>PTD!Print_Area</vt:lpstr>
      <vt:lpstr>Worksheet!Print_Area</vt:lpstr>
      <vt:lpstr>'2011 Schedule'!Print_Titles</vt:lpstr>
      <vt:lpstr>ProportionateChildSupportObligationA</vt:lpstr>
      <vt:lpstr>ProportionateChildSupportObligationB</vt:lpstr>
      <vt:lpstr>Ready</vt:lpstr>
      <vt:lpstr>Respondent</vt:lpstr>
      <vt:lpstr>SelfSupportReserve</vt:lpstr>
      <vt:lpstr>SelfSupportReserveAdjustmentA</vt:lpstr>
      <vt:lpstr>SelfSupportReserveAdjustmentB</vt:lpstr>
      <vt:lpstr>SelfSupportReserveTest</vt:lpstr>
      <vt:lpstr>Stipulation</vt:lpstr>
      <vt:lpstr>Version</vt:lpstr>
      <vt:lpstr>WorksheetDate</vt:lpstr>
      <vt:lpstr>WorksheetYear</vt:lpstr>
    </vt:vector>
  </TitlesOfParts>
  <Manager/>
  <Company>Maricopa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Gonzalez, Laura</cp:lastModifiedBy>
  <cp:revision/>
  <dcterms:created xsi:type="dcterms:W3CDTF">2002-02-04T22:48:48Z</dcterms:created>
  <dcterms:modified xsi:type="dcterms:W3CDTF">2022-12-30T21:27:48Z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0x01010030F5B07349176D45BD36457C5F7EA1B6</vt:lpwstr>
  </property>
</Properties>
</file>